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P:\PM projecten\2023\DSS - Rekentool BE opgenomen vermogens en rendement\"/>
    </mc:Choice>
  </mc:AlternateContent>
  <xr:revisionPtr revIDLastSave="0" documentId="13_ncr:1_{CFD19795-4F37-41C5-B500-65DF4C1919C2}" xr6:coauthVersionLast="47" xr6:coauthVersionMax="47" xr10:uidLastSave="{00000000-0000-0000-0000-000000000000}"/>
  <bookViews>
    <workbookView xWindow="54600" yWindow="-5370" windowWidth="25800" windowHeight="21000" xr2:uid="{F58CD7EF-E2F0-4CA2-960A-25958D50E4C2}"/>
  </bookViews>
  <sheets>
    <sheet name="DRUK DEBIET VERMOGEN" sheetId="1" r:id="rId1"/>
    <sheet name="VISUALS" sheetId="4" state="hidden" r:id="rId2"/>
    <sheet name="TRANSLATOR" sheetId="2" state="hidden" r:id="rId3"/>
    <sheet name="CALCULATIE VB" sheetId="3" state="hidden" r:id="rId4"/>
  </sheets>
  <definedNames>
    <definedName name="_">VISUALS!$A$8</definedName>
    <definedName name="_xlnm.Print_Area" localSheetId="0">'DRUK DEBIET VERMOGEN'!$A$1:$K$47</definedName>
    <definedName name="D225_">VISUALS!$A$2</definedName>
    <definedName name="D325_">VISUALS!$A$3</definedName>
    <definedName name="D350_">VISUALS!$A$5</definedName>
    <definedName name="D400_">VISUALS!$A$4</definedName>
    <definedName name="D450_">VISUALS!$A$6</definedName>
    <definedName name="D550_">VISUALS!$A$7</definedName>
    <definedName name="DRUKDEBIET">INDIRECT('DRUK DEBIET VERMOGEN'!$M$3)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 l="1"/>
  <c r="J48" i="2"/>
  <c r="J49" i="2"/>
  <c r="J47" i="2"/>
  <c r="J43" i="2" s="1"/>
  <c r="J19" i="2" l="1"/>
  <c r="D20" i="1" s="1"/>
  <c r="J15" i="2"/>
  <c r="J3" i="2"/>
  <c r="M3" i="1"/>
  <c r="J68" i="2" l="1"/>
  <c r="A45" i="1" s="1"/>
  <c r="J63" i="2"/>
  <c r="J59" i="2"/>
  <c r="J55" i="2"/>
  <c r="J51" i="2"/>
  <c r="J39" i="2"/>
  <c r="F2" i="1"/>
  <c r="G8" i="1"/>
  <c r="J35" i="2"/>
  <c r="J31" i="2"/>
  <c r="J27" i="2"/>
  <c r="D25" i="1" s="1"/>
  <c r="J23" i="2"/>
  <c r="D14" i="1"/>
  <c r="J11" i="2"/>
  <c r="D8" i="1" s="1"/>
  <c r="J7" i="2"/>
  <c r="D6" i="1" s="1"/>
  <c r="C2" i="1"/>
  <c r="C21" i="3" l="1"/>
  <c r="D21" i="3" s="1"/>
  <c r="E21" i="3" s="1"/>
  <c r="F21" i="3" s="1"/>
  <c r="G21" i="3" s="1"/>
  <c r="H21" i="3" s="1"/>
  <c r="I21" i="3" s="1"/>
  <c r="J21" i="3" s="1"/>
  <c r="D4" i="3" l="1"/>
  <c r="C10" i="3"/>
  <c r="D10" i="3" s="1"/>
  <c r="E10" i="3" s="1"/>
  <c r="F10" i="3" s="1"/>
  <c r="B4" i="3"/>
  <c r="C4" i="3"/>
  <c r="B29" i="3" l="1"/>
  <c r="G34" i="3"/>
  <c r="G35" i="3"/>
  <c r="G36" i="3"/>
  <c r="G32" i="3"/>
  <c r="G37" i="3"/>
  <c r="G33" i="3"/>
  <c r="H12" i="3"/>
  <c r="H11" i="3" s="1"/>
  <c r="C12" i="3"/>
  <c r="C11" i="3" s="1"/>
  <c r="D12" i="3"/>
  <c r="D11" i="3" s="1"/>
  <c r="G12" i="3"/>
  <c r="G11" i="3" s="1"/>
  <c r="J12" i="3"/>
  <c r="J11" i="3" s="1"/>
  <c r="F12" i="3"/>
  <c r="F11" i="3" s="1"/>
  <c r="B12" i="3"/>
  <c r="B11" i="3" s="1"/>
  <c r="I12" i="3"/>
  <c r="I11" i="3" s="1"/>
  <c r="E12" i="3"/>
  <c r="E11" i="3" s="1"/>
  <c r="E15" i="3"/>
  <c r="J16" i="3"/>
  <c r="G10" i="3"/>
  <c r="H10" i="3" s="1"/>
  <c r="I10" i="3" s="1"/>
  <c r="J10" i="3" s="1"/>
  <c r="F15" i="3"/>
  <c r="J15" i="3"/>
  <c r="E16" i="3"/>
  <c r="I16" i="3"/>
  <c r="B16" i="3"/>
  <c r="D13" i="3"/>
  <c r="H13" i="3"/>
  <c r="C14" i="3"/>
  <c r="G14" i="3"/>
  <c r="B15" i="3"/>
  <c r="D14" i="3"/>
  <c r="H15" i="3"/>
  <c r="C16" i="3"/>
  <c r="G16" i="3"/>
  <c r="F16" i="3"/>
  <c r="E13" i="3"/>
  <c r="C15" i="3"/>
  <c r="B13" i="3"/>
  <c r="F13" i="3"/>
  <c r="J13" i="3"/>
  <c r="E14" i="3"/>
  <c r="I14" i="3"/>
  <c r="D15" i="3"/>
  <c r="I13" i="3"/>
  <c r="I15" i="3"/>
  <c r="D16" i="3"/>
  <c r="H16" i="3"/>
  <c r="G15" i="3"/>
  <c r="H14" i="3"/>
  <c r="C13" i="3"/>
  <c r="G13" i="3"/>
  <c r="B14" i="3"/>
  <c r="F14" i="3"/>
  <c r="B18" i="3" s="1"/>
  <c r="J14" i="3"/>
  <c r="E25" i="1" l="1"/>
  <c r="B39" i="3"/>
  <c r="E20" i="1" l="1"/>
  <c r="E14" i="1"/>
  <c r="G6" i="1"/>
  <c r="D21" i="1" l="1"/>
  <c r="D22" i="1"/>
  <c r="G14" i="1"/>
  <c r="D17" i="1"/>
  <c r="D15" i="1"/>
</calcChain>
</file>

<file path=xl/sharedStrings.xml><?xml version="1.0" encoding="utf-8"?>
<sst xmlns="http://schemas.openxmlformats.org/spreadsheetml/2006/main" count="99" uniqueCount="78">
  <si>
    <t>Keuze Duco ventilatie unit</t>
  </si>
  <si>
    <t>Debiet</t>
  </si>
  <si>
    <t>Druk</t>
  </si>
  <si>
    <t>Choice DUCO ventilation unit</t>
  </si>
  <si>
    <t>DucoBox Energy Comfort D225</t>
  </si>
  <si>
    <t>DucoBox Energy Comfort D325</t>
  </si>
  <si>
    <t>DucoBox Energy Comfort D400</t>
  </si>
  <si>
    <t>DucoBox Energy Comfort Plus D350</t>
  </si>
  <si>
    <t>DucoBox Energy Comfort Plus D450</t>
  </si>
  <si>
    <t>DucoBox Energy Comfort Plus D550</t>
  </si>
  <si>
    <t>Debiet:</t>
  </si>
  <si>
    <t>Druk:</t>
  </si>
  <si>
    <t>Unit</t>
  </si>
  <si>
    <t>uitkomst:</t>
  </si>
  <si>
    <t>Opgenomen vermogen:</t>
  </si>
  <si>
    <t>Maximaal haalbaar debiet:</t>
  </si>
  <si>
    <t>D450</t>
  </si>
  <si>
    <t>D350</t>
  </si>
  <si>
    <t>D550</t>
  </si>
  <si>
    <t>D400</t>
  </si>
  <si>
    <t>D225/325</t>
  </si>
  <si>
    <t>Tot</t>
  </si>
  <si>
    <t>Thermisch rendement:</t>
  </si>
  <si>
    <t>Version:</t>
  </si>
  <si>
    <t>NL</t>
  </si>
  <si>
    <t>FR</t>
  </si>
  <si>
    <t>ENG</t>
  </si>
  <si>
    <t>Débit:</t>
  </si>
  <si>
    <t>Airflow:</t>
  </si>
  <si>
    <t>Pression:</t>
  </si>
  <si>
    <t>Pressure:</t>
  </si>
  <si>
    <t>Puissance électrique:</t>
  </si>
  <si>
    <t>Power supply:</t>
  </si>
  <si>
    <t>Voer het gewenste debiet in</t>
  </si>
  <si>
    <t>Saisir le débit souhaité</t>
  </si>
  <si>
    <t>Enter desired flow rate</t>
  </si>
  <si>
    <t>Debiet ligt hoger dan maximaal haalbaar debiet voor de gekozen unit</t>
  </si>
  <si>
    <t>Le débit dépasse le débit maximal réalisable pour l'unité choisie.</t>
  </si>
  <si>
    <t>Flow rate exceeds maximum attainable flow rate for the chosen unit</t>
  </si>
  <si>
    <t>Selecteer een ventilatie unit</t>
  </si>
  <si>
    <t>Select a ventilation unit</t>
  </si>
  <si>
    <t>Sélectionner une VMC</t>
  </si>
  <si>
    <t>Voer berekende tegendruk in</t>
  </si>
  <si>
    <t>Saisir la contre-pression calculée</t>
  </si>
  <si>
    <t>Enter calculated pressure</t>
  </si>
  <si>
    <r>
      <rPr>
        <sz val="11"/>
        <color theme="1"/>
        <rFont val="Calibri"/>
        <family val="2"/>
      </rPr>
      <t xml:space="preserve">↘ </t>
    </r>
    <r>
      <rPr>
        <sz val="11"/>
        <color theme="1"/>
        <rFont val="Calibri"/>
        <family val="2"/>
        <scheme val="minor"/>
      </rPr>
      <t>In overeenstemming met de EPB wetgeving - Bijlage G van Bijlage 5</t>
    </r>
  </si>
  <si>
    <t>↘ Conformément à la législation PEB - Annexe G de l'appendice 5</t>
  </si>
  <si>
    <t>↘ In accordance with EPB legislation - Annex G of Appendix 5</t>
  </si>
  <si>
    <t>W / fan</t>
  </si>
  <si>
    <t>W / moteur</t>
  </si>
  <si>
    <t>W / motor</t>
  </si>
  <si>
    <r>
      <rPr>
        <sz val="11"/>
        <color theme="1"/>
        <rFont val="Calibri"/>
        <family val="2"/>
      </rPr>
      <t xml:space="preserve">↘ </t>
    </r>
    <r>
      <rPr>
        <sz val="11"/>
        <color theme="1"/>
        <rFont val="Calibri"/>
        <family val="2"/>
        <scheme val="minor"/>
      </rPr>
      <t>Deze waarde kan op geen enkel moment gebruikt worden als staving voor een EPB dossier. Hiervoor moet een praktijkmeting uitgevoerd worden met geijkt meetapparatuur.</t>
    </r>
  </si>
  <si>
    <t>↘ At no point can this value be used as justification for an EPB case. This requires a field measurement using calibrated measuring equipment.</t>
  </si>
  <si>
    <t>↘ Cette valeur ne peut en aucun cas être utilisée pour justifier un dossier EPB. Pour cela, une mesure doit être effectuée sur le terrain à l'aide d'un équipement de contrôle calibré.</t>
  </si>
  <si>
    <r>
      <rPr>
        <sz val="11"/>
        <color theme="1"/>
        <rFont val="Calibri"/>
        <family val="2"/>
      </rPr>
      <t xml:space="preserve">↘ </t>
    </r>
    <r>
      <rPr>
        <sz val="11"/>
        <color theme="1"/>
        <rFont val="Calibri"/>
        <family val="2"/>
        <scheme val="minor"/>
      </rPr>
      <t>De genoemde waarde is een raming gebaseerd op theoretische herberekening van officiële metingen.</t>
    </r>
  </si>
  <si>
    <t>↘ La valeur indiquée est une estimation basée sur un calcul théorique des mesures officielles.</t>
  </si>
  <si>
    <t>↘ The mentioned value is an estimation based on theoretical recalculation from official measurements.</t>
  </si>
  <si>
    <t>De rekentool is eigendom van DUCO en kan enkel door DUCO verdeeld worden. De resultaten van deze rekentool zijn een raming en kunnen in geen enkel geval gebruikt worden als officiële meetresultaten. In geen enkel geval kan DUCO aansprakelijk of verantwoordelijk gesteld worden voor fouten of misverstanden welke kunnen voortvloeien uit het gebruik van deze rekentool.</t>
  </si>
  <si>
    <t>DISCLAIMER</t>
  </si>
  <si>
    <t>This calculation tool is the property of DUCO and may only be distributed by DUCO. The results of this calculation tool are an estimation and can under no circumstances be used as official measurement results. In no event shall DUCO be held liable or responsible for any errors or misunderstandings that may arise from the use of this calculation tool.</t>
  </si>
  <si>
    <t>Ce logiciel de calcul est la propriété de DUCO et ne peut être distribué que par DUCO. Les résultats de cet outil de calcul sont une estimation et ne peuvent en aucun cas être utilisés comme résultats de mesure officiels. DUCO ne peut en aucun cas être considéré responsable des erreurs ou des malentendus qui pourraient résulter à la suite de l'utilisation de cet outil de calcul.</t>
  </si>
  <si>
    <t>Ventilatie unit</t>
  </si>
  <si>
    <t>Druk/debiet/vermogen curve</t>
  </si>
  <si>
    <t>D225</t>
  </si>
  <si>
    <t>D325</t>
  </si>
  <si>
    <t>Choix VMC DUCO</t>
  </si>
  <si>
    <t>↘ Berekend conform EN13141-7:2021</t>
  </si>
  <si>
    <t>↘ Calculé selon la norme EN13141-7:2021</t>
  </si>
  <si>
    <t>↘ Calculated according to EN13141-7:2021</t>
  </si>
  <si>
    <t>Rendement thermique:</t>
  </si>
  <si>
    <t>Thermal efficiency:</t>
  </si>
  <si>
    <t>Débit maximum réalisable:</t>
  </si>
  <si>
    <t>Maximum attainable flow rate:</t>
  </si>
  <si>
    <t>↘ Berekend conform EN308:1997</t>
  </si>
  <si>
    <t>↘ Calculé selon la norme EN308:1997</t>
  </si>
  <si>
    <t>↘ Calculated according to EN308:1997</t>
  </si>
  <si>
    <t>in EPBD rapport staat 85 en geen 84…</t>
  </si>
  <si>
    <t>Kies taal/choisir la langue/choose language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</si>
</sst>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ot;"/>
    <numFmt numFmtId="165" formatCode="0\ &quot;m³/h&quot;"/>
    <numFmt numFmtId="166" formatCode="0\ &quot;Pa&quot;"/>
    <numFmt numFmtId="167" formatCode="0\ &quot;W&quot;"/>
  </numFmts>
  <fonts count="15" x14ac:knownFonts="1">
    <font>
      <sz val="11"/>
      <color theme="1"/>
      <name val="Calibri"/>
      <family val="2"/>
      <scheme val="minor"/>
    </font>
    <font>
      <sz val="8"/>
      <name val="Calibri"/>
      <family val="2"/>
      <scheme val="minor"/>
    </font>
    <font>
      <b/>
      <u/>
      <sz val="11"/>
      <color theme="1"/>
      <name val="Calibri"/>
      <family val="2"/>
      <scheme val="minor"/>
    </font>
    <font>
      <b/>
      <sz val="11"/>
      <color theme="1"/>
      <name val="Calibri"/>
      <family val="2"/>
      <scheme val="minor"/>
    </font>
    <font>
      <b/>
      <sz val="16"/>
      <color theme="1"/>
      <name val="Calibri"/>
      <family val="2"/>
      <scheme val="minor"/>
    </font>
    <font>
      <b/>
      <sz val="11"/>
      <color rgb="FFFF0000"/>
      <name val="Calibri"/>
      <family val="2"/>
      <scheme val="minor"/>
    </font>
    <font>
      <sz val="11"/>
      <color theme="0" tint="-0.34998626667073579"/>
      <name val="Calibri"/>
      <family val="2"/>
      <scheme val="minor"/>
    </font>
    <font>
      <sz val="8"/>
      <color theme="0" tint="-0.34998626667073579"/>
      <name val="Calibri"/>
      <family val="2"/>
      <scheme val="minor"/>
    </font>
    <font>
      <sz val="11"/>
      <color theme="1"/>
      <name val="Calibri"/>
      <family val="2"/>
    </font>
    <font>
      <b/>
      <sz val="8"/>
      <color rgb="FFFF0000"/>
      <name val="Calibri"/>
      <family val="2"/>
      <scheme val="minor"/>
    </font>
    <font>
      <sz val="8"/>
      <color theme="0" tint="-0.249977111117893"/>
      <name val="Calibri"/>
      <family val="2"/>
      <scheme val="minor"/>
    </font>
    <font>
      <b/>
      <u/>
      <sz val="11"/>
      <color theme="0" tint="-0.249977111117893"/>
      <name val="Calibri"/>
      <family val="2"/>
      <scheme val="minor"/>
    </font>
    <font>
      <sz val="11"/>
      <color theme="0" tint="-0.14999847407452621"/>
      <name val="Calibri"/>
      <family val="2"/>
      <scheme val="minor"/>
    </font>
    <font>
      <sz val="8"/>
      <color theme="0" tint="-0.14999847407452621"/>
      <name val="Calibri"/>
      <family val="2"/>
      <scheme val="minor"/>
    </font>
    <font>
      <b/>
      <sz val="16"/>
      <color rgb="FF76AE3E"/>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top style="dotted">
        <color auto="1"/>
      </top>
      <bottom style="dotted">
        <color auto="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1">
    <xf numFmtId="0" fontId="0" fillId="0" borderId="0"/>
  </cellStyleXfs>
  <cellXfs count="47">
    <xf numFmtId="0" fontId="0" fillId="0" borderId="0" xfId="0"/>
    <xf numFmtId="0" fontId="0" fillId="3" borderId="5" xfId="0" applyFill="1" applyBorder="1" applyProtection="1">
      <protection hidden="1"/>
    </xf>
    <xf numFmtId="0" fontId="0" fillId="3" borderId="6" xfId="0" applyFill="1" applyBorder="1" applyProtection="1">
      <protection hidden="1"/>
    </xf>
    <xf numFmtId="0" fontId="3" fillId="3" borderId="6" xfId="0" applyFont="1" applyFill="1" applyBorder="1" applyAlignment="1" applyProtection="1">
      <alignment horizontal="right"/>
      <protection hidden="1"/>
    </xf>
    <xf numFmtId="0" fontId="0" fillId="2" borderId="0" xfId="0" applyFill="1" applyProtection="1">
      <protection hidden="1"/>
    </xf>
    <xf numFmtId="0" fontId="0" fillId="3" borderId="8" xfId="0" applyFill="1" applyBorder="1" applyProtection="1">
      <protection hidden="1"/>
    </xf>
    <xf numFmtId="0" fontId="0" fillId="3" borderId="0" xfId="0" applyFill="1" applyProtection="1">
      <protection hidden="1"/>
    </xf>
    <xf numFmtId="0" fontId="2" fillId="3" borderId="0" xfId="0" applyFont="1" applyFill="1" applyProtection="1">
      <protection hidden="1"/>
    </xf>
    <xf numFmtId="0" fontId="5" fillId="3" borderId="0" xfId="0" applyFont="1" applyFill="1" applyProtection="1">
      <protection hidden="1"/>
    </xf>
    <xf numFmtId="0" fontId="0" fillId="3" borderId="9" xfId="0" applyFill="1" applyBorder="1" applyProtection="1">
      <protection hidden="1"/>
    </xf>
    <xf numFmtId="0" fontId="12" fillId="2" borderId="0" xfId="0" applyFont="1" applyFill="1" applyProtection="1">
      <protection hidden="1"/>
    </xf>
    <xf numFmtId="0" fontId="0" fillId="3" borderId="0" xfId="0" applyFill="1" applyAlignment="1" applyProtection="1">
      <alignment horizontal="right" vertical="center"/>
      <protection hidden="1"/>
    </xf>
    <xf numFmtId="0" fontId="0" fillId="3" borderId="0" xfId="0" applyFill="1" applyAlignment="1" applyProtection="1">
      <alignment horizontal="right"/>
      <protection hidden="1"/>
    </xf>
    <xf numFmtId="0" fontId="3" fillId="3" borderId="0" xfId="0" applyFont="1" applyFill="1" applyAlignment="1" applyProtection="1">
      <alignment horizontal="right" vertical="center"/>
      <protection hidden="1"/>
    </xf>
    <xf numFmtId="0" fontId="6" fillId="3" borderId="0" xfId="0" applyFont="1" applyFill="1" applyAlignment="1" applyProtection="1">
      <alignment horizontal="right"/>
      <protection hidden="1"/>
    </xf>
    <xf numFmtId="0" fontId="11" fillId="3" borderId="5" xfId="0" applyFont="1" applyFill="1" applyBorder="1" applyProtection="1">
      <protection hidden="1"/>
    </xf>
    <xf numFmtId="0" fontId="0" fillId="3" borderId="7" xfId="0" applyFill="1" applyBorder="1" applyProtection="1">
      <protection hidden="1"/>
    </xf>
    <xf numFmtId="0" fontId="0" fillId="0" borderId="0" xfId="0" applyProtection="1">
      <protection hidden="1"/>
    </xf>
    <xf numFmtId="0" fontId="0" fillId="4" borderId="0" xfId="0" applyFill="1" applyProtection="1">
      <protection hidden="1"/>
    </xf>
    <xf numFmtId="0" fontId="0" fillId="3" borderId="0" xfId="0" applyFill="1" applyAlignment="1" applyProtection="1">
      <alignment horizontal="left"/>
      <protection hidden="1"/>
    </xf>
    <xf numFmtId="0" fontId="0" fillId="0" borderId="0" xfId="0" applyAlignment="1" applyProtection="1">
      <alignment horizontal="center"/>
      <protection hidden="1"/>
    </xf>
    <xf numFmtId="0" fontId="0" fillId="0" borderId="0" xfId="0" applyAlignment="1" applyProtection="1">
      <alignment horizontal="right"/>
      <protection hidden="1"/>
    </xf>
    <xf numFmtId="0" fontId="3" fillId="3" borderId="7" xfId="0" applyFont="1" applyFill="1" applyBorder="1" applyAlignment="1" applyProtection="1">
      <alignment horizontal="center"/>
      <protection locked="0"/>
    </xf>
    <xf numFmtId="0" fontId="0" fillId="4" borderId="0" xfId="0" applyFill="1" applyAlignment="1" applyProtection="1">
      <alignment horizontal="center"/>
      <protection hidden="1"/>
    </xf>
    <xf numFmtId="0" fontId="13" fillId="3" borderId="6" xfId="0" applyFont="1" applyFill="1" applyBorder="1" applyAlignment="1" applyProtection="1">
      <alignment horizontal="right"/>
      <protection hidden="1"/>
    </xf>
    <xf numFmtId="0" fontId="10" fillId="3" borderId="8" xfId="0" applyFont="1" applyFill="1" applyBorder="1" applyAlignment="1" applyProtection="1">
      <alignment horizontal="left" vertical="center" wrapText="1"/>
      <protection hidden="1"/>
    </xf>
    <xf numFmtId="0" fontId="10" fillId="3" borderId="0" xfId="0" applyFont="1" applyFill="1" applyAlignment="1" applyProtection="1">
      <alignment horizontal="left" vertical="center" wrapText="1"/>
      <protection hidden="1"/>
    </xf>
    <xf numFmtId="0" fontId="10" fillId="3" borderId="9" xfId="0" applyFont="1" applyFill="1" applyBorder="1" applyAlignment="1" applyProtection="1">
      <alignment horizontal="left" vertical="center" wrapText="1"/>
      <protection hidden="1"/>
    </xf>
    <xf numFmtId="0" fontId="10" fillId="3" borderId="10" xfId="0" applyFont="1" applyFill="1" applyBorder="1" applyAlignment="1" applyProtection="1">
      <alignment horizontal="left" vertical="center" wrapText="1"/>
      <protection hidden="1"/>
    </xf>
    <xf numFmtId="0" fontId="10" fillId="3" borderId="11" xfId="0" applyFont="1" applyFill="1" applyBorder="1" applyAlignment="1" applyProtection="1">
      <alignment horizontal="left" vertical="center" wrapText="1"/>
      <protection hidden="1"/>
    </xf>
    <xf numFmtId="0" fontId="10" fillId="3" borderId="12" xfId="0" applyFont="1" applyFill="1" applyBorder="1" applyAlignment="1" applyProtection="1">
      <alignment horizontal="left" vertical="center" wrapText="1"/>
      <protection hidden="1"/>
    </xf>
    <xf numFmtId="165" fontId="6" fillId="3" borderId="0" xfId="0" applyNumberFormat="1" applyFont="1" applyFill="1" applyAlignment="1" applyProtection="1">
      <alignment horizontal="center"/>
      <protection hidden="1"/>
    </xf>
    <xf numFmtId="164" fontId="4" fillId="3" borderId="0" xfId="0" applyNumberFormat="1" applyFont="1" applyFill="1" applyAlignment="1" applyProtection="1">
      <alignment horizontal="center" vertical="center"/>
      <protection hidden="1"/>
    </xf>
    <xf numFmtId="165" fontId="4" fillId="3" borderId="1" xfId="0" applyNumberFormat="1" applyFont="1" applyFill="1" applyBorder="1" applyAlignment="1" applyProtection="1">
      <alignment horizontal="center" vertical="center"/>
      <protection locked="0"/>
    </xf>
    <xf numFmtId="165" fontId="4" fillId="3" borderId="2" xfId="0" applyNumberFormat="1" applyFont="1" applyFill="1" applyBorder="1" applyAlignment="1" applyProtection="1">
      <alignment horizontal="center" vertical="center"/>
      <protection locked="0"/>
    </xf>
    <xf numFmtId="166" fontId="4" fillId="3" borderId="1" xfId="0" applyNumberFormat="1" applyFont="1" applyFill="1" applyBorder="1" applyAlignment="1" applyProtection="1">
      <alignment horizontal="center" vertical="center"/>
      <protection locked="0"/>
    </xf>
    <xf numFmtId="166" fontId="4" fillId="3" borderId="2" xfId="0" applyNumberFormat="1" applyFont="1" applyFill="1" applyBorder="1" applyAlignment="1" applyProtection="1">
      <alignment horizontal="center" vertical="center"/>
      <protection locked="0"/>
    </xf>
    <xf numFmtId="0" fontId="7" fillId="3" borderId="0" xfId="0" applyFont="1" applyFill="1" applyAlignment="1" applyProtection="1">
      <alignment horizontal="left"/>
      <protection hidden="1"/>
    </xf>
    <xf numFmtId="0" fontId="0" fillId="3" borderId="0" xfId="0" applyFill="1" applyAlignment="1" applyProtection="1">
      <alignment horizontal="center"/>
      <protection hidden="1"/>
    </xf>
    <xf numFmtId="167" fontId="4" fillId="3" borderId="0" xfId="0" applyNumberFormat="1" applyFont="1" applyFill="1" applyAlignment="1" applyProtection="1">
      <alignment horizontal="center" vertical="center"/>
      <protection hidden="1"/>
    </xf>
    <xf numFmtId="0" fontId="9" fillId="3" borderId="3"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0" fillId="3" borderId="0" xfId="0" applyFill="1" applyAlignment="1" applyProtection="1">
      <alignment horizontal="left" vertical="center"/>
      <protection hidden="1"/>
    </xf>
    <xf numFmtId="0" fontId="7" fillId="3" borderId="0" xfId="0" applyFont="1" applyFill="1" applyAlignment="1" applyProtection="1">
      <alignment horizontal="left" vertical="top" wrapText="1"/>
      <protection hidden="1"/>
    </xf>
    <xf numFmtId="0" fontId="14" fillId="3" borderId="1"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cellXfs>
  <cellStyles count="1">
    <cellStyle name="Standaard" xfId="0" builtinId="0"/>
  </cellStyles>
  <dxfs count="1">
    <dxf>
      <font>
        <b/>
        <i val="0"/>
        <color rgb="FFFF0000"/>
      </font>
    </dxf>
  </dxfs>
  <tableStyles count="0" defaultTableStyle="TableStyleMedium2" defaultPivotStyle="PivotStyleLight16"/>
  <colors>
    <mruColors>
      <color rgb="FF76AE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5" Type="http://schemas.openxmlformats.org/officeDocument/2006/relationships/image" Target="../media/image19.png"/><Relationship Id="rId4"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3</xdr:col>
      <xdr:colOff>464820</xdr:colOff>
      <xdr:row>3</xdr:row>
      <xdr:rowOff>76200</xdr:rowOff>
    </xdr:from>
    <xdr:to>
      <xdr:col>6</xdr:col>
      <xdr:colOff>135255</xdr:colOff>
      <xdr:row>12</xdr:row>
      <xdr:rowOff>93345</xdr:rowOff>
    </xdr:to>
    <xdr:sp macro="" textlink="">
      <xdr:nvSpPr>
        <xdr:cNvPr id="2" name="Pijl: omlaag 1">
          <a:extLst>
            <a:ext uri="{FF2B5EF4-FFF2-40B4-BE49-F238E27FC236}">
              <a16:creationId xmlns:a16="http://schemas.microsoft.com/office/drawing/2014/main" id="{CDC8031F-71E3-944F-C51E-86AAD25133B6}"/>
            </a:ext>
          </a:extLst>
        </xdr:cNvPr>
        <xdr:cNvSpPr/>
      </xdr:nvSpPr>
      <xdr:spPr>
        <a:xfrm>
          <a:off x="1703070" y="704850"/>
          <a:ext cx="1499235" cy="1969770"/>
        </a:xfrm>
        <a:prstGeom prst="downArrow">
          <a:avLst>
            <a:gd name="adj1" fmla="val 66393"/>
            <a:gd name="adj2" fmla="val 41758"/>
          </a:avLst>
        </a:prstGeom>
        <a:no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nl-BE" sz="1100"/>
        </a:p>
      </xdr:txBody>
    </xdr:sp>
    <xdr:clientData/>
  </xdr:twoCellAnchor>
  <mc:AlternateContent xmlns:mc="http://schemas.openxmlformats.org/markup-compatibility/2006">
    <mc:Choice xmlns:a14="http://schemas.microsoft.com/office/drawing/2010/main" Requires="a14">
      <xdr:twoCellAnchor editAs="oneCell">
        <xdr:from>
          <xdr:col>0</xdr:col>
          <xdr:colOff>149194</xdr:colOff>
          <xdr:row>26</xdr:row>
          <xdr:rowOff>83578</xdr:rowOff>
        </xdr:from>
        <xdr:to>
          <xdr:col>10</xdr:col>
          <xdr:colOff>95249</xdr:colOff>
          <xdr:row>42</xdr:row>
          <xdr:rowOff>129540</xdr:rowOff>
        </xdr:to>
        <xdr:pic>
          <xdr:nvPicPr>
            <xdr:cNvPr id="5" name="Afbeelding 4">
              <a:extLst>
                <a:ext uri="{FF2B5EF4-FFF2-40B4-BE49-F238E27FC236}">
                  <a16:creationId xmlns:a16="http://schemas.microsoft.com/office/drawing/2014/main" id="{30A9A134-4D3D-48E7-BAF1-A9C6986E4620}"/>
                </a:ext>
              </a:extLst>
            </xdr:cNvPr>
            <xdr:cNvPicPr>
              <a:picLocks noChangeAspect="1"/>
              <a:extLst>
                <a:ext uri="{84589F7E-364E-4C9E-8A38-B11213B215E9}">
                  <a14:cameraTool cellRange="DRUKDEBIET" spid="_x0000_s1110"/>
                </a:ext>
              </a:extLst>
            </xdr:cNvPicPr>
          </xdr:nvPicPr>
          <xdr:blipFill rotWithShape="1">
            <a:blip xmlns:r="http://schemas.openxmlformats.org/officeDocument/2006/relationships" r:embed="rId1"/>
            <a:srcRect t="6442" r="2281"/>
            <a:stretch>
              <a:fillRect/>
            </a:stretch>
          </xdr:blipFill>
          <xdr:spPr>
            <a:xfrm>
              <a:off x="149194" y="5409958"/>
              <a:ext cx="5459125" cy="2972042"/>
            </a:xfrm>
            <a:prstGeom prst="rect">
              <a:avLst/>
            </a:prstGeom>
            <a:ln>
              <a:noFill/>
            </a:ln>
            <a:effectLst>
              <a:softEdge rad="50800"/>
            </a:effectLst>
          </xdr:spPr>
        </xdr:pic>
        <xdr:clientData/>
      </xdr:twoCellAnchor>
    </mc:Choice>
    <mc:Fallback/>
  </mc:AlternateContent>
  <xdr:twoCellAnchor editAs="oneCell">
    <xdr:from>
      <xdr:col>0</xdr:col>
      <xdr:colOff>169215</xdr:colOff>
      <xdr:row>29</xdr:row>
      <xdr:rowOff>163830</xdr:rowOff>
    </xdr:from>
    <xdr:to>
      <xdr:col>10</xdr:col>
      <xdr:colOff>116835</xdr:colOff>
      <xdr:row>36</xdr:row>
      <xdr:rowOff>171450</xdr:rowOff>
    </xdr:to>
    <xdr:pic>
      <xdr:nvPicPr>
        <xdr:cNvPr id="4" name="Afbeelding 3" descr="Duco">
          <a:extLst>
            <a:ext uri="{FF2B5EF4-FFF2-40B4-BE49-F238E27FC236}">
              <a16:creationId xmlns:a16="http://schemas.microsoft.com/office/drawing/2014/main" id="{88DD395F-6CD5-F7E0-0C00-26BF21FA7D05}"/>
            </a:ext>
          </a:extLst>
        </xdr:cNvPr>
        <xdr:cNvPicPr>
          <a:picLocks noChangeAspect="1" noChangeArrowheads="1"/>
        </xdr:cNvPicPr>
      </xdr:nvPicPr>
      <xdr:blipFill rotWithShape="1">
        <a:blip xmlns:r="http://schemas.openxmlformats.org/officeDocument/2006/relationships" r:embed="rId2">
          <a:clrChange>
            <a:clrFrom>
              <a:srgbClr val="FFFFFF"/>
            </a:clrFrom>
            <a:clrTo>
              <a:srgbClr val="FFFFFF">
                <a:alpha val="0"/>
              </a:srgbClr>
            </a:clrTo>
          </a:clrChange>
          <a:alphaModFix amt="5000"/>
          <a:extLst>
            <a:ext uri="{28A0092B-C50C-407E-A947-70E740481C1C}">
              <a14:useLocalDpi xmlns:a14="http://schemas.microsoft.com/office/drawing/2010/main" val="0"/>
            </a:ext>
          </a:extLst>
        </a:blip>
        <a:srcRect t="32402" b="32232"/>
        <a:stretch/>
      </xdr:blipFill>
      <xdr:spPr bwMode="auto">
        <a:xfrm>
          <a:off x="169215" y="5993130"/>
          <a:ext cx="5453070" cy="1264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198783</xdr:colOff>
      <xdr:row>1</xdr:row>
      <xdr:rowOff>167520</xdr:rowOff>
    </xdr:from>
    <xdr:to>
      <xdr:col>1</xdr:col>
      <xdr:colOff>198108</xdr:colOff>
      <xdr:row>3</xdr:row>
      <xdr:rowOff>34344</xdr:rowOff>
    </xdr:to>
    <xdr:pic>
      <xdr:nvPicPr>
        <xdr:cNvPr id="10" name="Afbeelding 9">
          <a:extLst>
            <a:ext uri="{FF2B5EF4-FFF2-40B4-BE49-F238E27FC236}">
              <a16:creationId xmlns:a16="http://schemas.microsoft.com/office/drawing/2014/main" id="{D77BC371-A0FF-17D1-A4D1-20406EF3995F}"/>
            </a:ext>
          </a:extLst>
        </xdr:cNvPr>
        <xdr:cNvPicPr>
          <a:picLocks noChangeAspect="1"/>
        </xdr:cNvPicPr>
      </xdr:nvPicPr>
      <xdr:blipFill>
        <a:blip xmlns:r="http://schemas.openxmlformats.org/officeDocument/2006/relationships" r:embed="rId3"/>
        <a:stretch>
          <a:fillRect/>
        </a:stretch>
      </xdr:blipFill>
      <xdr:spPr>
        <a:xfrm>
          <a:off x="198783" y="349737"/>
          <a:ext cx="314064" cy="314085"/>
        </a:xfrm>
        <a:prstGeom prst="rect">
          <a:avLst/>
        </a:prstGeom>
      </xdr:spPr>
    </xdr:pic>
    <xdr:clientData/>
  </xdr:twoCellAnchor>
  <xdr:twoCellAnchor editAs="oneCell">
    <xdr:from>
      <xdr:col>2</xdr:col>
      <xdr:colOff>133185</xdr:colOff>
      <xdr:row>5</xdr:row>
      <xdr:rowOff>38880</xdr:rowOff>
    </xdr:from>
    <xdr:to>
      <xdr:col>2</xdr:col>
      <xdr:colOff>443337</xdr:colOff>
      <xdr:row>5</xdr:row>
      <xdr:rowOff>337014</xdr:rowOff>
    </xdr:to>
    <xdr:pic>
      <xdr:nvPicPr>
        <xdr:cNvPr id="11" name="Afbeelding 10">
          <a:extLst>
            <a:ext uri="{FF2B5EF4-FFF2-40B4-BE49-F238E27FC236}">
              <a16:creationId xmlns:a16="http://schemas.microsoft.com/office/drawing/2014/main" id="{1F60B5E8-00A6-545A-4FD2-F6AE2416B9C6}"/>
            </a:ext>
          </a:extLst>
        </xdr:cNvPr>
        <xdr:cNvPicPr>
          <a:picLocks noChangeAspect="1"/>
        </xdr:cNvPicPr>
      </xdr:nvPicPr>
      <xdr:blipFill>
        <a:blip xmlns:r="http://schemas.openxmlformats.org/officeDocument/2006/relationships" r:embed="rId4"/>
        <a:stretch>
          <a:fillRect/>
        </a:stretch>
      </xdr:blipFill>
      <xdr:spPr>
        <a:xfrm>
          <a:off x="762663" y="1032793"/>
          <a:ext cx="310152" cy="298134"/>
        </a:xfrm>
        <a:prstGeom prst="rect">
          <a:avLst/>
        </a:prstGeom>
      </xdr:spPr>
    </xdr:pic>
    <xdr:clientData/>
  </xdr:twoCellAnchor>
  <xdr:twoCellAnchor editAs="oneCell">
    <xdr:from>
      <xdr:col>2</xdr:col>
      <xdr:colOff>136995</xdr:colOff>
      <xdr:row>7</xdr:row>
      <xdr:rowOff>30753</xdr:rowOff>
    </xdr:from>
    <xdr:to>
      <xdr:col>2</xdr:col>
      <xdr:colOff>430696</xdr:colOff>
      <xdr:row>7</xdr:row>
      <xdr:rowOff>320506</xdr:rowOff>
    </xdr:to>
    <xdr:pic>
      <xdr:nvPicPr>
        <xdr:cNvPr id="12" name="Afbeelding 11">
          <a:extLst>
            <a:ext uri="{FF2B5EF4-FFF2-40B4-BE49-F238E27FC236}">
              <a16:creationId xmlns:a16="http://schemas.microsoft.com/office/drawing/2014/main" id="{5498B6A6-466B-410C-1047-4B6A9504E76A}"/>
            </a:ext>
          </a:extLst>
        </xdr:cNvPr>
        <xdr:cNvPicPr>
          <a:picLocks noChangeAspect="1"/>
        </xdr:cNvPicPr>
      </xdr:nvPicPr>
      <xdr:blipFill>
        <a:blip xmlns:r="http://schemas.openxmlformats.org/officeDocument/2006/relationships" r:embed="rId5"/>
        <a:stretch>
          <a:fillRect/>
        </a:stretch>
      </xdr:blipFill>
      <xdr:spPr>
        <a:xfrm>
          <a:off x="768366" y="1538424"/>
          <a:ext cx="293701" cy="28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140970</xdr:colOff>
      <xdr:row>7</xdr:row>
      <xdr:rowOff>334861</xdr:rowOff>
    </xdr:from>
    <xdr:to>
      <xdr:col>0</xdr:col>
      <xdr:colOff>5234351</xdr:colOff>
      <xdr:row>7</xdr:row>
      <xdr:rowOff>2783205</xdr:rowOff>
    </xdr:to>
    <xdr:sp macro="" textlink="">
      <xdr:nvSpPr>
        <xdr:cNvPr id="2" name="Rechthoek 1">
          <a:extLst>
            <a:ext uri="{FF2B5EF4-FFF2-40B4-BE49-F238E27FC236}">
              <a16:creationId xmlns:a16="http://schemas.microsoft.com/office/drawing/2014/main" id="{161B023F-475D-4DA5-841B-896D29B198D9}"/>
            </a:ext>
          </a:extLst>
        </xdr:cNvPr>
        <xdr:cNvSpPr/>
      </xdr:nvSpPr>
      <xdr:spPr>
        <a:xfrm>
          <a:off x="140970" y="18003736"/>
          <a:ext cx="5093381" cy="2448344"/>
        </a:xfrm>
        <a:prstGeom prst="rect">
          <a:avLst/>
        </a:prstGeom>
        <a:solidFill>
          <a:schemeClr val="bg1">
            <a:lumMod val="9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BE" sz="2800">
              <a:solidFill>
                <a:schemeClr val="bg1">
                  <a:lumMod val="75000"/>
                </a:schemeClr>
              </a:solidFill>
            </a:rPr>
            <a:t>No input!</a:t>
          </a:r>
        </a:p>
      </xdr:txBody>
    </xdr:sp>
    <xdr:clientData/>
  </xdr:twoCellAnchor>
  <xdr:twoCellAnchor editAs="oneCell">
    <xdr:from>
      <xdr:col>0</xdr:col>
      <xdr:colOff>135257</xdr:colOff>
      <xdr:row>3</xdr:row>
      <xdr:rowOff>162412</xdr:rowOff>
    </xdr:from>
    <xdr:to>
      <xdr:col>0</xdr:col>
      <xdr:colOff>5198829</xdr:colOff>
      <xdr:row>3</xdr:row>
      <xdr:rowOff>2802087</xdr:rowOff>
    </xdr:to>
    <xdr:pic>
      <xdr:nvPicPr>
        <xdr:cNvPr id="4" name="Afbeelding 3">
          <a:extLst>
            <a:ext uri="{FF2B5EF4-FFF2-40B4-BE49-F238E27FC236}">
              <a16:creationId xmlns:a16="http://schemas.microsoft.com/office/drawing/2014/main" id="{9BE66F37-C01C-6EF3-613E-059D3CCC9D3D}"/>
            </a:ext>
          </a:extLst>
        </xdr:cNvPr>
        <xdr:cNvPicPr>
          <a:picLocks noChangeAspect="1"/>
        </xdr:cNvPicPr>
      </xdr:nvPicPr>
      <xdr:blipFill>
        <a:blip xmlns:r="http://schemas.openxmlformats.org/officeDocument/2006/relationships" r:embed="rId1"/>
        <a:stretch>
          <a:fillRect/>
        </a:stretch>
      </xdr:blipFill>
      <xdr:spPr>
        <a:xfrm>
          <a:off x="135257" y="6172687"/>
          <a:ext cx="5063572" cy="2639675"/>
        </a:xfrm>
        <a:prstGeom prst="rect">
          <a:avLst/>
        </a:prstGeom>
        <a:ln>
          <a:solidFill>
            <a:schemeClr val="bg1">
              <a:lumMod val="75000"/>
            </a:schemeClr>
          </a:solidFill>
        </a:ln>
      </xdr:spPr>
    </xdr:pic>
    <xdr:clientData/>
  </xdr:twoCellAnchor>
  <xdr:twoCellAnchor editAs="oneCell">
    <xdr:from>
      <xdr:col>0</xdr:col>
      <xdr:colOff>131446</xdr:colOff>
      <xdr:row>4</xdr:row>
      <xdr:rowOff>152984</xdr:rowOff>
    </xdr:from>
    <xdr:to>
      <xdr:col>0</xdr:col>
      <xdr:colOff>5217375</xdr:colOff>
      <xdr:row>4</xdr:row>
      <xdr:rowOff>2796966</xdr:rowOff>
    </xdr:to>
    <xdr:pic>
      <xdr:nvPicPr>
        <xdr:cNvPr id="5" name="Afbeelding 4">
          <a:extLst>
            <a:ext uri="{FF2B5EF4-FFF2-40B4-BE49-F238E27FC236}">
              <a16:creationId xmlns:a16="http://schemas.microsoft.com/office/drawing/2014/main" id="{CDFA9DC6-4007-645C-586A-07DAEE99D50C}"/>
            </a:ext>
          </a:extLst>
        </xdr:cNvPr>
        <xdr:cNvPicPr>
          <a:picLocks noChangeAspect="1"/>
        </xdr:cNvPicPr>
      </xdr:nvPicPr>
      <xdr:blipFill>
        <a:blip xmlns:r="http://schemas.openxmlformats.org/officeDocument/2006/relationships" r:embed="rId2"/>
        <a:stretch>
          <a:fillRect/>
        </a:stretch>
      </xdr:blipFill>
      <xdr:spPr>
        <a:xfrm>
          <a:off x="131446" y="9077909"/>
          <a:ext cx="5085929" cy="2643982"/>
        </a:xfrm>
        <a:prstGeom prst="rect">
          <a:avLst/>
        </a:prstGeom>
        <a:ln>
          <a:solidFill>
            <a:schemeClr val="bg1">
              <a:lumMod val="75000"/>
            </a:schemeClr>
          </a:solidFill>
        </a:ln>
      </xdr:spPr>
    </xdr:pic>
    <xdr:clientData/>
  </xdr:twoCellAnchor>
  <xdr:twoCellAnchor editAs="oneCell">
    <xdr:from>
      <xdr:col>0</xdr:col>
      <xdr:colOff>140970</xdr:colOff>
      <xdr:row>5</xdr:row>
      <xdr:rowOff>143325</xdr:rowOff>
    </xdr:from>
    <xdr:to>
      <xdr:col>0</xdr:col>
      <xdr:colOff>5235419</xdr:colOff>
      <xdr:row>5</xdr:row>
      <xdr:rowOff>2781301</xdr:rowOff>
    </xdr:to>
    <xdr:pic>
      <xdr:nvPicPr>
        <xdr:cNvPr id="6" name="Afbeelding 5">
          <a:extLst>
            <a:ext uri="{FF2B5EF4-FFF2-40B4-BE49-F238E27FC236}">
              <a16:creationId xmlns:a16="http://schemas.microsoft.com/office/drawing/2014/main" id="{03040AB1-073A-94EB-42BC-987B2A88B094}"/>
            </a:ext>
          </a:extLst>
        </xdr:cNvPr>
        <xdr:cNvPicPr>
          <a:picLocks noChangeAspect="1"/>
        </xdr:cNvPicPr>
      </xdr:nvPicPr>
      <xdr:blipFill>
        <a:blip xmlns:r="http://schemas.openxmlformats.org/officeDocument/2006/relationships" r:embed="rId3"/>
        <a:stretch>
          <a:fillRect/>
        </a:stretch>
      </xdr:blipFill>
      <xdr:spPr>
        <a:xfrm>
          <a:off x="140970" y="11982900"/>
          <a:ext cx="5094449" cy="2637976"/>
        </a:xfrm>
        <a:prstGeom prst="rect">
          <a:avLst/>
        </a:prstGeom>
        <a:ln>
          <a:solidFill>
            <a:schemeClr val="bg1">
              <a:lumMod val="75000"/>
            </a:schemeClr>
          </a:solidFill>
        </a:ln>
      </xdr:spPr>
    </xdr:pic>
    <xdr:clientData/>
  </xdr:twoCellAnchor>
  <xdr:twoCellAnchor editAs="oneCell">
    <xdr:from>
      <xdr:col>0</xdr:col>
      <xdr:colOff>139065</xdr:colOff>
      <xdr:row>6</xdr:row>
      <xdr:rowOff>182782</xdr:rowOff>
    </xdr:from>
    <xdr:to>
      <xdr:col>0</xdr:col>
      <xdr:colOff>5237975</xdr:colOff>
      <xdr:row>6</xdr:row>
      <xdr:rowOff>2796540</xdr:rowOff>
    </xdr:to>
    <xdr:pic>
      <xdr:nvPicPr>
        <xdr:cNvPr id="8" name="Afbeelding 7">
          <a:extLst>
            <a:ext uri="{FF2B5EF4-FFF2-40B4-BE49-F238E27FC236}">
              <a16:creationId xmlns:a16="http://schemas.microsoft.com/office/drawing/2014/main" id="{9A396507-0B98-0E16-A3B7-A5533AF1F8EC}"/>
            </a:ext>
          </a:extLst>
        </xdr:cNvPr>
        <xdr:cNvPicPr>
          <a:picLocks noChangeAspect="1"/>
        </xdr:cNvPicPr>
      </xdr:nvPicPr>
      <xdr:blipFill>
        <a:blip xmlns:r="http://schemas.openxmlformats.org/officeDocument/2006/relationships" r:embed="rId4"/>
        <a:stretch>
          <a:fillRect/>
        </a:stretch>
      </xdr:blipFill>
      <xdr:spPr>
        <a:xfrm>
          <a:off x="139065" y="14937007"/>
          <a:ext cx="5098910" cy="2613758"/>
        </a:xfrm>
        <a:prstGeom prst="rect">
          <a:avLst/>
        </a:prstGeom>
        <a:ln>
          <a:solidFill>
            <a:schemeClr val="bg1">
              <a:lumMod val="75000"/>
            </a:schemeClr>
          </a:solidFill>
        </a:ln>
      </xdr:spPr>
    </xdr:pic>
    <xdr:clientData/>
  </xdr:twoCellAnchor>
  <xdr:twoCellAnchor>
    <xdr:from>
      <xdr:col>0</xdr:col>
      <xdr:colOff>152401</xdr:colOff>
      <xdr:row>1</xdr:row>
      <xdr:rowOff>180576</xdr:rowOff>
    </xdr:from>
    <xdr:to>
      <xdr:col>0</xdr:col>
      <xdr:colOff>5219700</xdr:colOff>
      <xdr:row>1</xdr:row>
      <xdr:rowOff>2802580</xdr:rowOff>
    </xdr:to>
    <xdr:grpSp>
      <xdr:nvGrpSpPr>
        <xdr:cNvPr id="9" name="Groep 8">
          <a:extLst>
            <a:ext uri="{FF2B5EF4-FFF2-40B4-BE49-F238E27FC236}">
              <a16:creationId xmlns:a16="http://schemas.microsoft.com/office/drawing/2014/main" id="{D1E95359-16AB-5976-A969-612817F6217D}"/>
            </a:ext>
          </a:extLst>
        </xdr:cNvPr>
        <xdr:cNvGrpSpPr/>
      </xdr:nvGrpSpPr>
      <xdr:grpSpPr>
        <a:xfrm>
          <a:off x="152401" y="363456"/>
          <a:ext cx="5067299" cy="2622004"/>
          <a:chOff x="152401" y="361551"/>
          <a:chExt cx="5067299" cy="2622004"/>
        </a:xfrm>
      </xdr:grpSpPr>
      <xdr:pic>
        <xdr:nvPicPr>
          <xdr:cNvPr id="11" name="Afbeelding 10">
            <a:extLst>
              <a:ext uri="{FF2B5EF4-FFF2-40B4-BE49-F238E27FC236}">
                <a16:creationId xmlns:a16="http://schemas.microsoft.com/office/drawing/2014/main" id="{A0A64F99-E6E9-62D1-5C75-DFF5420AC0D9}"/>
              </a:ext>
            </a:extLst>
          </xdr:cNvPr>
          <xdr:cNvPicPr>
            <a:picLocks noChangeAspect="1"/>
          </xdr:cNvPicPr>
        </xdr:nvPicPr>
        <xdr:blipFill>
          <a:blip xmlns:r="http://schemas.openxmlformats.org/officeDocument/2006/relationships" r:embed="rId5"/>
          <a:stretch>
            <a:fillRect/>
          </a:stretch>
        </xdr:blipFill>
        <xdr:spPr>
          <a:xfrm>
            <a:off x="152401" y="361551"/>
            <a:ext cx="5067299" cy="2622004"/>
          </a:xfrm>
          <a:prstGeom prst="rect">
            <a:avLst/>
          </a:prstGeom>
          <a:ln>
            <a:solidFill>
              <a:schemeClr val="bg1">
                <a:lumMod val="75000"/>
              </a:schemeClr>
            </a:solidFill>
          </a:ln>
        </xdr:spPr>
      </xdr:pic>
      <xdr:pic>
        <xdr:nvPicPr>
          <xdr:cNvPr id="3" name="Afbeelding 2">
            <a:extLst>
              <a:ext uri="{FF2B5EF4-FFF2-40B4-BE49-F238E27FC236}">
                <a16:creationId xmlns:a16="http://schemas.microsoft.com/office/drawing/2014/main" id="{1545D42F-2214-BAC9-2668-9C7A461875A7}"/>
              </a:ext>
            </a:extLst>
          </xdr:cNvPr>
          <xdr:cNvPicPr>
            <a:picLocks noChangeAspect="1"/>
          </xdr:cNvPicPr>
        </xdr:nvPicPr>
        <xdr:blipFill>
          <a:blip xmlns:r="http://schemas.openxmlformats.org/officeDocument/2006/relationships" r:embed="rId6"/>
          <a:stretch>
            <a:fillRect/>
          </a:stretch>
        </xdr:blipFill>
        <xdr:spPr>
          <a:xfrm>
            <a:off x="5050632" y="1736008"/>
            <a:ext cx="101868" cy="99935"/>
          </a:xfrm>
          <a:prstGeom prst="rect">
            <a:avLst/>
          </a:prstGeom>
        </xdr:spPr>
      </xdr:pic>
    </xdr:grpSp>
    <xdr:clientData/>
  </xdr:twoCellAnchor>
  <xdr:twoCellAnchor>
    <xdr:from>
      <xdr:col>0</xdr:col>
      <xdr:colOff>152400</xdr:colOff>
      <xdr:row>2</xdr:row>
      <xdr:rowOff>207841</xdr:rowOff>
    </xdr:from>
    <xdr:to>
      <xdr:col>0</xdr:col>
      <xdr:colOff>5222953</xdr:colOff>
      <xdr:row>2</xdr:row>
      <xdr:rowOff>2834641</xdr:rowOff>
    </xdr:to>
    <xdr:grpSp>
      <xdr:nvGrpSpPr>
        <xdr:cNvPr id="12" name="Groep 11">
          <a:extLst>
            <a:ext uri="{FF2B5EF4-FFF2-40B4-BE49-F238E27FC236}">
              <a16:creationId xmlns:a16="http://schemas.microsoft.com/office/drawing/2014/main" id="{44EA699B-2B8A-CFF9-6865-BC4F05E071A7}"/>
            </a:ext>
          </a:extLst>
        </xdr:cNvPr>
        <xdr:cNvGrpSpPr/>
      </xdr:nvGrpSpPr>
      <xdr:grpSpPr>
        <a:xfrm>
          <a:off x="152400" y="3309181"/>
          <a:ext cx="5070553" cy="2626800"/>
          <a:chOff x="152400" y="3303466"/>
          <a:chExt cx="5070553" cy="2626800"/>
        </a:xfrm>
      </xdr:grpSpPr>
      <xdr:pic>
        <xdr:nvPicPr>
          <xdr:cNvPr id="10" name="Afbeelding 9">
            <a:extLst>
              <a:ext uri="{FF2B5EF4-FFF2-40B4-BE49-F238E27FC236}">
                <a16:creationId xmlns:a16="http://schemas.microsoft.com/office/drawing/2014/main" id="{8A7AE32B-4922-445C-9A32-BFBCFD612AB2}"/>
              </a:ext>
            </a:extLst>
          </xdr:cNvPr>
          <xdr:cNvPicPr>
            <a:picLocks noChangeAspect="1"/>
          </xdr:cNvPicPr>
        </xdr:nvPicPr>
        <xdr:blipFill>
          <a:blip xmlns:r="http://schemas.openxmlformats.org/officeDocument/2006/relationships" r:embed="rId7"/>
          <a:stretch>
            <a:fillRect/>
          </a:stretch>
        </xdr:blipFill>
        <xdr:spPr>
          <a:xfrm>
            <a:off x="152400" y="3303466"/>
            <a:ext cx="5070553" cy="2626800"/>
          </a:xfrm>
          <a:prstGeom prst="rect">
            <a:avLst/>
          </a:prstGeom>
          <a:ln>
            <a:solidFill>
              <a:schemeClr val="bg1">
                <a:lumMod val="75000"/>
              </a:schemeClr>
            </a:solidFill>
          </a:ln>
        </xdr:spPr>
      </xdr:pic>
      <xdr:pic>
        <xdr:nvPicPr>
          <xdr:cNvPr id="7" name="Afbeelding 6">
            <a:extLst>
              <a:ext uri="{FF2B5EF4-FFF2-40B4-BE49-F238E27FC236}">
                <a16:creationId xmlns:a16="http://schemas.microsoft.com/office/drawing/2014/main" id="{1FE3F24B-C495-475C-A1F1-61215365A9CD}"/>
              </a:ext>
            </a:extLst>
          </xdr:cNvPr>
          <xdr:cNvPicPr>
            <a:picLocks noChangeAspect="1"/>
          </xdr:cNvPicPr>
        </xdr:nvPicPr>
        <xdr:blipFill>
          <a:blip xmlns:r="http://schemas.openxmlformats.org/officeDocument/2006/relationships" r:embed="rId6"/>
          <a:stretch>
            <a:fillRect/>
          </a:stretch>
        </xdr:blipFill>
        <xdr:spPr>
          <a:xfrm>
            <a:off x="5050155" y="4673918"/>
            <a:ext cx="109488" cy="11517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571500</xdr:colOff>
      <xdr:row>12</xdr:row>
      <xdr:rowOff>36195</xdr:rowOff>
    </xdr:from>
    <xdr:to>
      <xdr:col>16</xdr:col>
      <xdr:colOff>359768</xdr:colOff>
      <xdr:row>20</xdr:row>
      <xdr:rowOff>58873</xdr:rowOff>
    </xdr:to>
    <xdr:pic>
      <xdr:nvPicPr>
        <xdr:cNvPr id="2" name="Afbeelding 1">
          <a:extLst>
            <a:ext uri="{FF2B5EF4-FFF2-40B4-BE49-F238E27FC236}">
              <a16:creationId xmlns:a16="http://schemas.microsoft.com/office/drawing/2014/main" id="{70227DE2-52AA-6A39-A66B-61D3CCE154D7}"/>
            </a:ext>
          </a:extLst>
        </xdr:cNvPr>
        <xdr:cNvPicPr>
          <a:picLocks noChangeAspect="1"/>
        </xdr:cNvPicPr>
      </xdr:nvPicPr>
      <xdr:blipFill>
        <a:blip xmlns:r="http://schemas.openxmlformats.org/officeDocument/2006/relationships" r:embed="rId1"/>
        <a:stretch>
          <a:fillRect/>
        </a:stretch>
      </xdr:blipFill>
      <xdr:spPr>
        <a:xfrm>
          <a:off x="9439275" y="2207895"/>
          <a:ext cx="2222858" cy="1460953"/>
        </a:xfrm>
        <a:prstGeom prst="rect">
          <a:avLst/>
        </a:prstGeom>
      </xdr:spPr>
    </xdr:pic>
    <xdr:clientData/>
  </xdr:twoCellAnchor>
  <xdr:twoCellAnchor editAs="oneCell">
    <xdr:from>
      <xdr:col>12</xdr:col>
      <xdr:colOff>581025</xdr:colOff>
      <xdr:row>3</xdr:row>
      <xdr:rowOff>9525</xdr:rowOff>
    </xdr:from>
    <xdr:to>
      <xdr:col>16</xdr:col>
      <xdr:colOff>401674</xdr:colOff>
      <xdr:row>11</xdr:row>
      <xdr:rowOff>16964</xdr:rowOff>
    </xdr:to>
    <xdr:pic>
      <xdr:nvPicPr>
        <xdr:cNvPr id="3" name="Afbeelding 2">
          <a:extLst>
            <a:ext uri="{FF2B5EF4-FFF2-40B4-BE49-F238E27FC236}">
              <a16:creationId xmlns:a16="http://schemas.microsoft.com/office/drawing/2014/main" id="{B22F26E4-21B2-D3A9-0001-1FE4B1E85A8B}"/>
            </a:ext>
          </a:extLst>
        </xdr:cNvPr>
        <xdr:cNvPicPr>
          <a:picLocks noChangeAspect="1"/>
        </xdr:cNvPicPr>
      </xdr:nvPicPr>
      <xdr:blipFill>
        <a:blip xmlns:r="http://schemas.openxmlformats.org/officeDocument/2006/relationships" r:embed="rId2"/>
        <a:stretch>
          <a:fillRect/>
        </a:stretch>
      </xdr:blipFill>
      <xdr:spPr>
        <a:xfrm>
          <a:off x="9448800" y="552450"/>
          <a:ext cx="2247619" cy="1445714"/>
        </a:xfrm>
        <a:prstGeom prst="rect">
          <a:avLst/>
        </a:prstGeom>
      </xdr:spPr>
    </xdr:pic>
    <xdr:clientData/>
  </xdr:twoCellAnchor>
  <xdr:twoCellAnchor editAs="oneCell">
    <xdr:from>
      <xdr:col>13</xdr:col>
      <xdr:colOff>0</xdr:colOff>
      <xdr:row>22</xdr:row>
      <xdr:rowOff>0</xdr:rowOff>
    </xdr:from>
    <xdr:to>
      <xdr:col>16</xdr:col>
      <xdr:colOff>399770</xdr:colOff>
      <xdr:row>29</xdr:row>
      <xdr:rowOff>171269</xdr:rowOff>
    </xdr:to>
    <xdr:pic>
      <xdr:nvPicPr>
        <xdr:cNvPr id="4" name="Afbeelding 3">
          <a:extLst>
            <a:ext uri="{FF2B5EF4-FFF2-40B4-BE49-F238E27FC236}">
              <a16:creationId xmlns:a16="http://schemas.microsoft.com/office/drawing/2014/main" id="{AE8E20C0-1EC6-BBEE-ADA1-E3C71705C2CC}"/>
            </a:ext>
          </a:extLst>
        </xdr:cNvPr>
        <xdr:cNvPicPr>
          <a:picLocks noChangeAspect="1"/>
        </xdr:cNvPicPr>
      </xdr:nvPicPr>
      <xdr:blipFill>
        <a:blip xmlns:r="http://schemas.openxmlformats.org/officeDocument/2006/relationships" r:embed="rId3"/>
        <a:stretch>
          <a:fillRect/>
        </a:stretch>
      </xdr:blipFill>
      <xdr:spPr>
        <a:xfrm>
          <a:off x="9477375" y="3981450"/>
          <a:ext cx="2238095" cy="1447619"/>
        </a:xfrm>
        <a:prstGeom prst="rect">
          <a:avLst/>
        </a:prstGeom>
      </xdr:spPr>
    </xdr:pic>
    <xdr:clientData/>
  </xdr:twoCellAnchor>
  <xdr:twoCellAnchor editAs="oneCell">
    <xdr:from>
      <xdr:col>17</xdr:col>
      <xdr:colOff>590550</xdr:colOff>
      <xdr:row>22</xdr:row>
      <xdr:rowOff>28575</xdr:rowOff>
    </xdr:from>
    <xdr:to>
      <xdr:col>21</xdr:col>
      <xdr:colOff>361674</xdr:colOff>
      <xdr:row>30</xdr:row>
      <xdr:rowOff>18869</xdr:rowOff>
    </xdr:to>
    <xdr:pic>
      <xdr:nvPicPr>
        <xdr:cNvPr id="5" name="Afbeelding 4">
          <a:extLst>
            <a:ext uri="{FF2B5EF4-FFF2-40B4-BE49-F238E27FC236}">
              <a16:creationId xmlns:a16="http://schemas.microsoft.com/office/drawing/2014/main" id="{A105B708-C1DD-A34F-CF64-36F1F66FB83B}"/>
            </a:ext>
          </a:extLst>
        </xdr:cNvPr>
        <xdr:cNvPicPr>
          <a:picLocks noChangeAspect="1"/>
        </xdr:cNvPicPr>
      </xdr:nvPicPr>
      <xdr:blipFill>
        <a:blip xmlns:r="http://schemas.openxmlformats.org/officeDocument/2006/relationships" r:embed="rId4"/>
        <a:stretch>
          <a:fillRect/>
        </a:stretch>
      </xdr:blipFill>
      <xdr:spPr>
        <a:xfrm>
          <a:off x="12506325" y="4010025"/>
          <a:ext cx="2209524" cy="1445714"/>
        </a:xfrm>
        <a:prstGeom prst="rect">
          <a:avLst/>
        </a:prstGeom>
      </xdr:spPr>
    </xdr:pic>
    <xdr:clientData/>
  </xdr:twoCellAnchor>
  <xdr:twoCellAnchor editAs="oneCell">
    <xdr:from>
      <xdr:col>18</xdr:col>
      <xdr:colOff>0</xdr:colOff>
      <xdr:row>12</xdr:row>
      <xdr:rowOff>0</xdr:rowOff>
    </xdr:from>
    <xdr:to>
      <xdr:col>21</xdr:col>
      <xdr:colOff>365485</xdr:colOff>
      <xdr:row>20</xdr:row>
      <xdr:rowOff>20773</xdr:rowOff>
    </xdr:to>
    <xdr:pic>
      <xdr:nvPicPr>
        <xdr:cNvPr id="6" name="Afbeelding 5">
          <a:extLst>
            <a:ext uri="{FF2B5EF4-FFF2-40B4-BE49-F238E27FC236}">
              <a16:creationId xmlns:a16="http://schemas.microsoft.com/office/drawing/2014/main" id="{B7A9CA40-1D11-FB57-DEA7-003B1AE7AEA4}"/>
            </a:ext>
          </a:extLst>
        </xdr:cNvPr>
        <xdr:cNvPicPr>
          <a:picLocks noChangeAspect="1"/>
        </xdr:cNvPicPr>
      </xdr:nvPicPr>
      <xdr:blipFill>
        <a:blip xmlns:r="http://schemas.openxmlformats.org/officeDocument/2006/relationships" r:embed="rId5"/>
        <a:stretch>
          <a:fillRect/>
        </a:stretch>
      </xdr:blipFill>
      <xdr:spPr>
        <a:xfrm>
          <a:off x="12525375" y="2171700"/>
          <a:ext cx="2200000" cy="145714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599FF-3A88-44FF-9A2F-D542D311842C}">
  <dimension ref="A1:M47"/>
  <sheetViews>
    <sheetView tabSelected="1" zoomScale="175" zoomScaleNormal="175" workbookViewId="0">
      <selection activeCell="L8" sqref="L8"/>
    </sheetView>
  </sheetViews>
  <sheetFormatPr defaultRowHeight="14.4" x14ac:dyDescent="0.3"/>
  <cols>
    <col min="1" max="2" width="4.5546875" style="4" customWidth="1"/>
    <col min="3" max="10" width="8.88671875" style="4"/>
    <col min="11" max="11" width="4.5546875" style="4" customWidth="1"/>
    <col min="12" max="16384" width="8.88671875" style="4"/>
  </cols>
  <sheetData>
    <row r="1" spans="1:13" x14ac:dyDescent="0.3">
      <c r="A1" s="1"/>
      <c r="B1" s="2"/>
      <c r="C1" s="2"/>
      <c r="D1" s="2"/>
      <c r="E1" s="2"/>
      <c r="F1" s="2"/>
      <c r="G1" s="2"/>
      <c r="H1" s="2"/>
      <c r="I1" s="24" t="str">
        <f>TRANSLATOR!B72</f>
        <v>Kies taal/choisir la langue/choose language</v>
      </c>
      <c r="J1" s="3" t="s">
        <v>23</v>
      </c>
      <c r="K1" s="22" t="s">
        <v>24</v>
      </c>
    </row>
    <row r="2" spans="1:13" x14ac:dyDescent="0.3">
      <c r="A2" s="5"/>
      <c r="B2" s="6"/>
      <c r="C2" s="7" t="str">
        <f>TRANSLATOR!J3</f>
        <v>Keuze Duco ventilatie unit</v>
      </c>
      <c r="D2" s="6"/>
      <c r="E2" s="6"/>
      <c r="F2" s="8" t="str">
        <f>IF(C3="",TRANSLATOR!J35,"")</f>
        <v/>
      </c>
      <c r="G2" s="6"/>
      <c r="H2" s="6"/>
      <c r="I2" s="6"/>
      <c r="J2" s="6"/>
      <c r="K2" s="9"/>
    </row>
    <row r="3" spans="1:13" ht="21" x14ac:dyDescent="0.3">
      <c r="A3" s="5"/>
      <c r="B3" s="6"/>
      <c r="C3" s="44" t="s">
        <v>5</v>
      </c>
      <c r="D3" s="45"/>
      <c r="E3" s="45"/>
      <c r="F3" s="45"/>
      <c r="G3" s="45"/>
      <c r="H3" s="46"/>
      <c r="I3" s="6"/>
      <c r="J3" s="6"/>
      <c r="K3" s="9"/>
      <c r="M3" s="10" t="str">
        <f>CONCATENATE(RIGHT(C3,4),"_")</f>
        <v>D325_</v>
      </c>
    </row>
    <row r="4" spans="1:13" x14ac:dyDescent="0.3">
      <c r="A4" s="5"/>
      <c r="B4" s="6"/>
      <c r="C4" s="6"/>
      <c r="D4" s="6"/>
      <c r="E4" s="6"/>
      <c r="F4" s="6"/>
      <c r="G4" s="6"/>
      <c r="H4" s="6"/>
      <c r="I4" s="6"/>
      <c r="J4" s="6"/>
      <c r="K4" s="9"/>
    </row>
    <row r="5" spans="1:13" x14ac:dyDescent="0.3">
      <c r="A5" s="5"/>
      <c r="B5" s="6"/>
      <c r="C5" s="6"/>
      <c r="D5" s="6"/>
      <c r="E5" s="6"/>
      <c r="F5" s="6"/>
      <c r="G5" s="6"/>
      <c r="H5" s="6"/>
      <c r="I5" s="6"/>
      <c r="J5" s="6"/>
      <c r="K5" s="9"/>
    </row>
    <row r="6" spans="1:13" ht="27" customHeight="1" x14ac:dyDescent="0.3">
      <c r="A6" s="5"/>
      <c r="B6" s="6"/>
      <c r="C6" s="6"/>
      <c r="D6" s="11" t="str">
        <f>TRANSLATOR!J7</f>
        <v>Debiet:</v>
      </c>
      <c r="E6" s="33">
        <v>225</v>
      </c>
      <c r="F6" s="34"/>
      <c r="G6" s="40" t="str">
        <f>IF(E6="",TRANSLATOR!J23,IF(E6&gt;E25,TRANSLATOR!J31,""))</f>
        <v/>
      </c>
      <c r="H6" s="41"/>
      <c r="I6" s="41"/>
      <c r="J6" s="41"/>
      <c r="K6" s="9"/>
    </row>
    <row r="7" spans="1:13" x14ac:dyDescent="0.3">
      <c r="A7" s="5"/>
      <c r="B7" s="6"/>
      <c r="C7" s="6"/>
      <c r="D7" s="6"/>
      <c r="E7" s="12"/>
      <c r="F7" s="6"/>
      <c r="G7" s="6"/>
      <c r="H7" s="6"/>
      <c r="I7" s="6"/>
      <c r="J7" s="6"/>
      <c r="K7" s="9"/>
    </row>
    <row r="8" spans="1:13" ht="27" customHeight="1" x14ac:dyDescent="0.3">
      <c r="A8" s="5"/>
      <c r="B8" s="6"/>
      <c r="C8" s="6"/>
      <c r="D8" s="11" t="str">
        <f>TRANSLATOR!J11</f>
        <v>Druk:</v>
      </c>
      <c r="E8" s="35">
        <v>150</v>
      </c>
      <c r="F8" s="36"/>
      <c r="G8" s="40" t="str">
        <f>IF(E8="",TRANSLATOR!J39,"")</f>
        <v/>
      </c>
      <c r="H8" s="41"/>
      <c r="I8" s="41"/>
      <c r="J8" s="41"/>
      <c r="K8" s="9"/>
    </row>
    <row r="9" spans="1:13" x14ac:dyDescent="0.3">
      <c r="A9" s="5"/>
      <c r="B9" s="6"/>
      <c r="C9" s="6"/>
      <c r="D9" s="6"/>
      <c r="E9" s="6"/>
      <c r="F9" s="6"/>
      <c r="G9" s="6"/>
      <c r="H9" s="6"/>
      <c r="I9" s="6"/>
      <c r="J9" s="6"/>
      <c r="K9" s="9"/>
    </row>
    <row r="10" spans="1:13" x14ac:dyDescent="0.3">
      <c r="A10" s="5"/>
      <c r="B10" s="6"/>
      <c r="C10" s="6"/>
      <c r="D10" s="6"/>
      <c r="E10" s="6"/>
      <c r="F10" s="6"/>
      <c r="G10" s="6"/>
      <c r="H10" s="6"/>
      <c r="I10" s="6"/>
      <c r="J10" s="6"/>
      <c r="K10" s="9"/>
    </row>
    <row r="11" spans="1:13" x14ac:dyDescent="0.3">
      <c r="A11" s="5"/>
      <c r="B11" s="6"/>
      <c r="C11" s="6"/>
      <c r="D11" s="6"/>
      <c r="E11" s="6"/>
      <c r="F11" s="6"/>
      <c r="G11" s="6"/>
      <c r="H11" s="6"/>
      <c r="I11" s="6"/>
      <c r="J11" s="6"/>
      <c r="K11" s="9"/>
    </row>
    <row r="12" spans="1:13" x14ac:dyDescent="0.3">
      <c r="A12" s="5"/>
      <c r="B12" s="6"/>
      <c r="C12" s="6"/>
      <c r="D12" s="6"/>
      <c r="E12" s="6"/>
      <c r="F12" s="6"/>
      <c r="G12" s="6"/>
      <c r="H12" s="6"/>
      <c r="I12" s="6"/>
      <c r="J12" s="6"/>
      <c r="K12" s="9"/>
    </row>
    <row r="13" spans="1:13" x14ac:dyDescent="0.3">
      <c r="A13" s="5"/>
      <c r="B13" s="6"/>
      <c r="C13" s="6"/>
      <c r="D13" s="6"/>
      <c r="E13" s="6"/>
      <c r="F13" s="6"/>
      <c r="G13" s="6"/>
      <c r="H13" s="6"/>
      <c r="I13" s="6"/>
      <c r="J13" s="6"/>
      <c r="K13" s="9"/>
    </row>
    <row r="14" spans="1:13" ht="21" x14ac:dyDescent="0.3">
      <c r="A14" s="5"/>
      <c r="B14" s="6"/>
      <c r="C14" s="6"/>
      <c r="D14" s="13" t="str">
        <f>TRANSLATOR!J15</f>
        <v>Opgenomen vermogen:</v>
      </c>
      <c r="E14" s="39">
        <f>IF(OR(C3="",E6="",E6&gt;E25,E8=""),"",ROUND('CALCULATIE VB'!B18,0))</f>
        <v>72</v>
      </c>
      <c r="F14" s="39"/>
      <c r="G14" s="42" t="str">
        <f>IF(E14="","",CONCATENATE(ROUND(E14/2,1)," ",TRANSLATOR!J55))</f>
        <v>36 W / motor</v>
      </c>
      <c r="H14" s="42"/>
      <c r="I14" s="42"/>
      <c r="J14" s="42"/>
      <c r="K14" s="9"/>
    </row>
    <row r="15" spans="1:13" x14ac:dyDescent="0.3">
      <c r="A15" s="5"/>
      <c r="B15" s="6"/>
      <c r="C15" s="6"/>
      <c r="D15" s="43" t="str">
        <f>IF(E14="","",TRANSLATOR!J59)</f>
        <v>↘ De genoemde waarde is een raming gebaseerd op theoretische herberekening van officiële metingen.</v>
      </c>
      <c r="E15" s="43"/>
      <c r="F15" s="43"/>
      <c r="G15" s="43"/>
      <c r="H15" s="43"/>
      <c r="I15" s="43"/>
      <c r="J15" s="43"/>
      <c r="K15" s="9"/>
    </row>
    <row r="16" spans="1:13" x14ac:dyDescent="0.3">
      <c r="A16" s="5"/>
      <c r="B16" s="6"/>
      <c r="C16" s="6"/>
      <c r="D16" s="43"/>
      <c r="E16" s="43"/>
      <c r="F16" s="43"/>
      <c r="G16" s="43"/>
      <c r="H16" s="43"/>
      <c r="I16" s="43"/>
      <c r="J16" s="43"/>
      <c r="K16" s="9"/>
    </row>
    <row r="17" spans="1:11" x14ac:dyDescent="0.3">
      <c r="A17" s="5"/>
      <c r="B17" s="6"/>
      <c r="C17" s="6"/>
      <c r="D17" s="43" t="str">
        <f>IF(E14="","",TRANSLATOR!J63)</f>
        <v>↘ Deze waarde kan op geen enkel moment gebruikt worden als staving voor een EPB dossier. Hiervoor moet een praktijkmeting uitgevoerd worden met geijkt meetapparatuur.</v>
      </c>
      <c r="E17" s="43"/>
      <c r="F17" s="43"/>
      <c r="G17" s="43"/>
      <c r="H17" s="43"/>
      <c r="I17" s="43"/>
      <c r="J17" s="43"/>
      <c r="K17" s="9"/>
    </row>
    <row r="18" spans="1:11" x14ac:dyDescent="0.3">
      <c r="A18" s="5"/>
      <c r="B18" s="6"/>
      <c r="C18" s="6"/>
      <c r="D18" s="43"/>
      <c r="E18" s="43"/>
      <c r="F18" s="43"/>
      <c r="G18" s="43"/>
      <c r="H18" s="43"/>
      <c r="I18" s="43"/>
      <c r="J18" s="43"/>
      <c r="K18" s="9"/>
    </row>
    <row r="19" spans="1:11" x14ac:dyDescent="0.3">
      <c r="A19" s="5"/>
      <c r="B19" s="6"/>
      <c r="C19" s="6"/>
      <c r="D19" s="6"/>
      <c r="E19" s="6"/>
      <c r="F19" s="6"/>
      <c r="G19" s="6"/>
      <c r="H19" s="6"/>
      <c r="I19" s="6"/>
      <c r="J19" s="6"/>
      <c r="K19" s="9"/>
    </row>
    <row r="20" spans="1:11" ht="21" x14ac:dyDescent="0.3">
      <c r="A20" s="5"/>
      <c r="B20" s="6"/>
      <c r="C20" s="6"/>
      <c r="D20" s="13" t="str">
        <f>TRANSLATOR!J19</f>
        <v>Thermisch rendement:</v>
      </c>
      <c r="E20" s="32">
        <f>IF(OR(C3="",E6="",E6&gt;E25,E8=""),"",'CALCULATIE VB'!B39)</f>
        <v>88</v>
      </c>
      <c r="F20" s="32"/>
      <c r="G20" s="6"/>
      <c r="H20" s="6"/>
      <c r="I20" s="6"/>
      <c r="J20" s="6"/>
      <c r="K20" s="9"/>
    </row>
    <row r="21" spans="1:11" x14ac:dyDescent="0.3">
      <c r="A21" s="5"/>
      <c r="B21" s="6"/>
      <c r="C21" s="6"/>
      <c r="D21" s="37" t="str">
        <f>IF(E20="","",TRANSLATOR!J43)</f>
        <v>↘ Berekend conform EN308:1997</v>
      </c>
      <c r="E21" s="37"/>
      <c r="F21" s="37"/>
      <c r="G21" s="37"/>
      <c r="H21" s="37"/>
      <c r="I21" s="37"/>
      <c r="J21" s="37"/>
      <c r="K21" s="9"/>
    </row>
    <row r="22" spans="1:11" x14ac:dyDescent="0.3">
      <c r="A22" s="5"/>
      <c r="B22" s="6"/>
      <c r="C22" s="6"/>
      <c r="D22" s="37" t="str">
        <f>IF(E20="","",TRANSLATOR!J51)</f>
        <v>↘ In overeenstemming met de EPB wetgeving - Bijlage G van Bijlage 5</v>
      </c>
      <c r="E22" s="37"/>
      <c r="F22" s="37"/>
      <c r="G22" s="37"/>
      <c r="H22" s="37"/>
      <c r="I22" s="37"/>
      <c r="J22" s="37"/>
      <c r="K22" s="9"/>
    </row>
    <row r="23" spans="1:11" x14ac:dyDescent="0.3">
      <c r="A23" s="5"/>
      <c r="B23" s="6"/>
      <c r="C23" s="6"/>
      <c r="D23" s="6"/>
      <c r="E23" s="6"/>
      <c r="F23" s="6"/>
      <c r="G23" s="6"/>
      <c r="H23" s="6"/>
      <c r="I23" s="6"/>
      <c r="J23" s="6"/>
      <c r="K23" s="9"/>
    </row>
    <row r="24" spans="1:11" x14ac:dyDescent="0.3">
      <c r="A24" s="5"/>
      <c r="B24" s="6"/>
      <c r="C24" s="6"/>
      <c r="D24" s="6"/>
      <c r="E24" s="6"/>
      <c r="F24" s="6"/>
      <c r="G24" s="6"/>
      <c r="H24" s="6"/>
      <c r="I24" s="6"/>
      <c r="J24" s="6"/>
      <c r="K24" s="9"/>
    </row>
    <row r="25" spans="1:11" x14ac:dyDescent="0.3">
      <c r="A25" s="5"/>
      <c r="B25" s="6"/>
      <c r="C25" s="6"/>
      <c r="D25" s="14" t="str">
        <f>TRANSLATOR!J27</f>
        <v>Maximaal haalbaar debiet:</v>
      </c>
      <c r="E25" s="31">
        <f>IF(OR(C3="",E6="",E8=""),"",'CALCULATIE VB'!B29)</f>
        <v>325</v>
      </c>
      <c r="F25" s="31"/>
      <c r="G25" s="6"/>
      <c r="H25" s="6"/>
      <c r="I25" s="6"/>
      <c r="J25" s="6"/>
      <c r="K25" s="9"/>
    </row>
    <row r="26" spans="1:11" x14ac:dyDescent="0.3">
      <c r="A26" s="5"/>
      <c r="B26" s="6"/>
      <c r="C26" s="6"/>
      <c r="D26" s="6"/>
      <c r="E26" s="6"/>
      <c r="F26" s="6"/>
      <c r="G26" s="6"/>
      <c r="H26" s="6"/>
      <c r="I26" s="6"/>
      <c r="J26" s="6"/>
      <c r="K26" s="9"/>
    </row>
    <row r="27" spans="1:11" x14ac:dyDescent="0.3">
      <c r="A27" s="5"/>
      <c r="B27" s="6"/>
      <c r="C27" s="6"/>
      <c r="D27" s="6"/>
      <c r="E27" s="6"/>
      <c r="F27" s="6"/>
      <c r="G27" s="6"/>
      <c r="H27" s="6"/>
      <c r="I27" s="6"/>
      <c r="J27" s="6"/>
      <c r="K27" s="9"/>
    </row>
    <row r="28" spans="1:11" x14ac:dyDescent="0.3">
      <c r="A28" s="5"/>
      <c r="B28" s="38"/>
      <c r="C28" s="38"/>
      <c r="D28" s="38"/>
      <c r="E28" s="38"/>
      <c r="F28" s="38"/>
      <c r="G28" s="38"/>
      <c r="H28" s="38"/>
      <c r="I28" s="38"/>
      <c r="J28" s="38"/>
      <c r="K28" s="9"/>
    </row>
    <row r="29" spans="1:11" x14ac:dyDescent="0.3">
      <c r="A29" s="5"/>
      <c r="B29" s="38"/>
      <c r="C29" s="38"/>
      <c r="D29" s="38"/>
      <c r="E29" s="38"/>
      <c r="F29" s="38"/>
      <c r="G29" s="38"/>
      <c r="H29" s="38"/>
      <c r="I29" s="38"/>
      <c r="J29" s="38"/>
      <c r="K29" s="9"/>
    </row>
    <row r="30" spans="1:11" x14ac:dyDescent="0.3">
      <c r="A30" s="5"/>
      <c r="B30" s="38"/>
      <c r="C30" s="38"/>
      <c r="D30" s="38"/>
      <c r="E30" s="38"/>
      <c r="F30" s="38"/>
      <c r="G30" s="38"/>
      <c r="H30" s="38"/>
      <c r="I30" s="38"/>
      <c r="J30" s="38"/>
      <c r="K30" s="9"/>
    </row>
    <row r="31" spans="1:11" x14ac:dyDescent="0.3">
      <c r="A31" s="5"/>
      <c r="B31" s="38"/>
      <c r="C31" s="38"/>
      <c r="D31" s="38"/>
      <c r="E31" s="38"/>
      <c r="F31" s="38"/>
      <c r="G31" s="38"/>
      <c r="H31" s="38"/>
      <c r="I31" s="38"/>
      <c r="J31" s="38"/>
      <c r="K31" s="9"/>
    </row>
    <row r="32" spans="1:11" x14ac:dyDescent="0.3">
      <c r="A32" s="5"/>
      <c r="B32" s="38"/>
      <c r="C32" s="38"/>
      <c r="D32" s="38"/>
      <c r="E32" s="38"/>
      <c r="F32" s="38"/>
      <c r="G32" s="38"/>
      <c r="H32" s="38"/>
      <c r="I32" s="38"/>
      <c r="J32" s="38"/>
      <c r="K32" s="9"/>
    </row>
    <row r="33" spans="1:11" x14ac:dyDescent="0.3">
      <c r="A33" s="5"/>
      <c r="B33" s="38"/>
      <c r="C33" s="38"/>
      <c r="D33" s="38"/>
      <c r="E33" s="38"/>
      <c r="F33" s="38"/>
      <c r="G33" s="38"/>
      <c r="H33" s="38"/>
      <c r="I33" s="38"/>
      <c r="J33" s="38"/>
      <c r="K33" s="9"/>
    </row>
    <row r="34" spans="1:11" x14ac:dyDescent="0.3">
      <c r="A34" s="5"/>
      <c r="B34" s="38"/>
      <c r="C34" s="38"/>
      <c r="D34" s="38"/>
      <c r="E34" s="38"/>
      <c r="F34" s="38"/>
      <c r="G34" s="38"/>
      <c r="H34" s="38"/>
      <c r="I34" s="38"/>
      <c r="J34" s="38"/>
      <c r="K34" s="9"/>
    </row>
    <row r="35" spans="1:11" x14ac:dyDescent="0.3">
      <c r="A35" s="5"/>
      <c r="B35" s="38"/>
      <c r="C35" s="38"/>
      <c r="D35" s="38"/>
      <c r="E35" s="38"/>
      <c r="F35" s="38"/>
      <c r="G35" s="38"/>
      <c r="H35" s="38"/>
      <c r="I35" s="38"/>
      <c r="J35" s="38"/>
      <c r="K35" s="9"/>
    </row>
    <row r="36" spans="1:11" x14ac:dyDescent="0.3">
      <c r="A36" s="5"/>
      <c r="B36" s="38"/>
      <c r="C36" s="38"/>
      <c r="D36" s="38"/>
      <c r="E36" s="38"/>
      <c r="F36" s="38"/>
      <c r="G36" s="38"/>
      <c r="H36" s="38"/>
      <c r="I36" s="38"/>
      <c r="J36" s="38"/>
      <c r="K36" s="9"/>
    </row>
    <row r="37" spans="1:11" x14ac:dyDescent="0.3">
      <c r="A37" s="5"/>
      <c r="B37" s="38"/>
      <c r="C37" s="38"/>
      <c r="D37" s="38"/>
      <c r="E37" s="38"/>
      <c r="F37" s="38"/>
      <c r="G37" s="38"/>
      <c r="H37" s="38"/>
      <c r="I37" s="38"/>
      <c r="J37" s="38"/>
      <c r="K37" s="9"/>
    </row>
    <row r="38" spans="1:11" x14ac:dyDescent="0.3">
      <c r="A38" s="5"/>
      <c r="B38" s="38"/>
      <c r="C38" s="38"/>
      <c r="D38" s="38"/>
      <c r="E38" s="38"/>
      <c r="F38" s="38"/>
      <c r="G38" s="38"/>
      <c r="H38" s="38"/>
      <c r="I38" s="38"/>
      <c r="J38" s="38"/>
      <c r="K38" s="9"/>
    </row>
    <row r="39" spans="1:11" x14ac:dyDescent="0.3">
      <c r="A39" s="5"/>
      <c r="B39" s="38"/>
      <c r="C39" s="38"/>
      <c r="D39" s="38"/>
      <c r="E39" s="38"/>
      <c r="F39" s="38"/>
      <c r="G39" s="38"/>
      <c r="H39" s="38"/>
      <c r="I39" s="38"/>
      <c r="J39" s="38"/>
      <c r="K39" s="9"/>
    </row>
    <row r="40" spans="1:11" x14ac:dyDescent="0.3">
      <c r="A40" s="5"/>
      <c r="B40" s="38"/>
      <c r="C40" s="38"/>
      <c r="D40" s="38"/>
      <c r="E40" s="38"/>
      <c r="F40" s="38"/>
      <c r="G40" s="38"/>
      <c r="H40" s="38"/>
      <c r="I40" s="38"/>
      <c r="J40" s="38"/>
      <c r="K40" s="9"/>
    </row>
    <row r="41" spans="1:11" x14ac:dyDescent="0.3">
      <c r="A41" s="5"/>
      <c r="B41" s="38"/>
      <c r="C41" s="38"/>
      <c r="D41" s="38"/>
      <c r="E41" s="38"/>
      <c r="F41" s="38"/>
      <c r="G41" s="38"/>
      <c r="H41" s="38"/>
      <c r="I41" s="38"/>
      <c r="J41" s="38"/>
      <c r="K41" s="9"/>
    </row>
    <row r="42" spans="1:11" x14ac:dyDescent="0.3">
      <c r="A42" s="5"/>
      <c r="B42" s="38"/>
      <c r="C42" s="38"/>
      <c r="D42" s="38"/>
      <c r="E42" s="38"/>
      <c r="F42" s="38"/>
      <c r="G42" s="38"/>
      <c r="H42" s="38"/>
      <c r="I42" s="38"/>
      <c r="J42" s="38"/>
      <c r="K42" s="9"/>
    </row>
    <row r="43" spans="1:11" x14ac:dyDescent="0.3">
      <c r="A43" s="5"/>
      <c r="B43" s="6"/>
      <c r="C43" s="6"/>
      <c r="D43" s="6"/>
      <c r="E43" s="6"/>
      <c r="F43" s="6"/>
      <c r="G43" s="6"/>
      <c r="H43" s="6"/>
      <c r="I43" s="6"/>
      <c r="J43" s="6"/>
      <c r="K43" s="9"/>
    </row>
    <row r="44" spans="1:11" x14ac:dyDescent="0.3">
      <c r="A44" s="15" t="s">
        <v>58</v>
      </c>
      <c r="B44" s="2"/>
      <c r="C44" s="2"/>
      <c r="D44" s="2"/>
      <c r="E44" s="2"/>
      <c r="F44" s="2"/>
      <c r="G44" s="2"/>
      <c r="H44" s="2"/>
      <c r="I44" s="2"/>
      <c r="J44" s="2"/>
      <c r="K44" s="16"/>
    </row>
    <row r="45" spans="1:11" x14ac:dyDescent="0.3">
      <c r="A45" s="25" t="str">
        <f>TRANSLATOR!J68</f>
        <v>De rekentool is eigendom van DUCO en kan enkel door DUCO verdeeld worden. De resultaten van deze rekentool zijn een raming en kunnen in geen enkel geval gebruikt worden als officiële meetresultaten. In geen enkel geval kan DUCO aansprakelijk of verantwoordelijk gesteld worden voor fouten of misverstanden welke kunnen voortvloeien uit het gebruik van deze rekentool.</v>
      </c>
      <c r="B45" s="26"/>
      <c r="C45" s="26"/>
      <c r="D45" s="26"/>
      <c r="E45" s="26"/>
      <c r="F45" s="26"/>
      <c r="G45" s="26"/>
      <c r="H45" s="26"/>
      <c r="I45" s="26"/>
      <c r="J45" s="26"/>
      <c r="K45" s="27"/>
    </row>
    <row r="46" spans="1:11" ht="14.4" customHeight="1" x14ac:dyDescent="0.3">
      <c r="A46" s="25"/>
      <c r="B46" s="26"/>
      <c r="C46" s="26"/>
      <c r="D46" s="26"/>
      <c r="E46" s="26"/>
      <c r="F46" s="26"/>
      <c r="G46" s="26"/>
      <c r="H46" s="26"/>
      <c r="I46" s="26"/>
      <c r="J46" s="26"/>
      <c r="K46" s="27"/>
    </row>
    <row r="47" spans="1:11" x14ac:dyDescent="0.3">
      <c r="A47" s="28"/>
      <c r="B47" s="29"/>
      <c r="C47" s="29"/>
      <c r="D47" s="29"/>
      <c r="E47" s="29"/>
      <c r="F47" s="29"/>
      <c r="G47" s="29"/>
      <c r="H47" s="29"/>
      <c r="I47" s="29"/>
      <c r="J47" s="29"/>
      <c r="K47" s="30"/>
    </row>
  </sheetData>
  <sheetProtection algorithmName="SHA-512" hashValue="YrOwwSY7wFScH2s1Ps5SxoWNpyoSuuQWLq7lWz9EhRNC7k5TjkytljC3OBOaB+Fqn4Tr27HrYx7N3QyVXwfDFw==" saltValue="1DaoMi4fLxsgrZFzc4Yu1A==" spinCount="100000" sheet="1" objects="1" scenarios="1"/>
  <mergeCells count="15">
    <mergeCell ref="C3:H3"/>
    <mergeCell ref="E14:F14"/>
    <mergeCell ref="G6:J6"/>
    <mergeCell ref="G8:J8"/>
    <mergeCell ref="D21:J21"/>
    <mergeCell ref="G14:J14"/>
    <mergeCell ref="D17:J18"/>
    <mergeCell ref="D15:J16"/>
    <mergeCell ref="A45:K47"/>
    <mergeCell ref="E25:F25"/>
    <mergeCell ref="E20:F20"/>
    <mergeCell ref="E6:F6"/>
    <mergeCell ref="E8:F8"/>
    <mergeCell ref="D22:J22"/>
    <mergeCell ref="B28:J42"/>
  </mergeCells>
  <conditionalFormatting sqref="E25:F25">
    <cfRule type="expression" dxfId="0" priority="1">
      <formula>$E$25&lt;$E$6</formula>
    </cfRule>
  </conditionalFormatting>
  <pageMargins left="0.7" right="0.7" top="0.75" bottom="0.75" header="0.3" footer="0.3"/>
  <pageSetup paperSize="9" orientation="portrait" r:id="rId1"/>
  <headerFooter>
    <oddFooter>&amp;C&amp;G</oddFooter>
  </headerFooter>
  <drawing r:id="rId2"/>
  <legacyDrawing r:id="rId3"/>
  <legacyDrawingHF r:id="rId4"/>
  <extLst>
    <ext xmlns:x14="http://schemas.microsoft.com/office/spreadsheetml/2009/9/main" uri="{CCE6A557-97BC-4b89-ADB6-D9C93CAAB3DF}">
      <x14:dataValidations xmlns:xm="http://schemas.microsoft.com/office/excel/2006/main" count="3">
        <x14:dataValidation type="list" allowBlank="1" showInputMessage="1" showErrorMessage="1" xr:uid="{5A5393BA-E5E5-4EDA-9EFD-DCF6F39F27C8}">
          <x14:formula1>
            <xm:f>'CALCULATIE VB'!$A$11:$A$16</xm:f>
          </x14:formula1>
          <xm:sqref>C3</xm:sqref>
        </x14:dataValidation>
        <x14:dataValidation type="list" allowBlank="1" showInputMessage="1" showErrorMessage="1" xr:uid="{17BA3209-3C6B-4CC4-BCC9-413DEFCC2E02}">
          <x14:formula1>
            <xm:f>'CALCULATIE VB'!$B$10:$J$10</xm:f>
          </x14:formula1>
          <xm:sqref>E8</xm:sqref>
        </x14:dataValidation>
        <x14:dataValidation type="list" allowBlank="1" showInputMessage="1" showErrorMessage="1" xr:uid="{A8491E61-3E7C-4219-B65E-F741D8746B6F}">
          <x14:formula1>
            <xm:f>TRANSLATOR!$G$3:$G$5</xm:f>
          </x14:formula1>
          <xm:sqref>K1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373F2-E7FD-40A5-9993-FC071EEDF228}">
  <dimension ref="A1:B12"/>
  <sheetViews>
    <sheetView topLeftCell="A3" zoomScale="175" zoomScaleNormal="175" workbookViewId="0">
      <selection activeCell="B3" sqref="B3"/>
    </sheetView>
  </sheetViews>
  <sheetFormatPr defaultRowHeight="14.4" x14ac:dyDescent="0.3"/>
  <cols>
    <col min="1" max="1" width="80.109375" style="17" customWidth="1"/>
    <col min="2" max="2" width="31.5546875" style="17" bestFit="1" customWidth="1"/>
    <col min="3" max="16384" width="8.88671875" style="17"/>
  </cols>
  <sheetData>
    <row r="1" spans="1:2" x14ac:dyDescent="0.3">
      <c r="A1" s="17" t="s">
        <v>62</v>
      </c>
      <c r="B1" s="17" t="s">
        <v>61</v>
      </c>
    </row>
    <row r="2" spans="1:2" ht="229.95" customHeight="1" x14ac:dyDescent="0.3">
      <c r="B2" s="17" t="s">
        <v>63</v>
      </c>
    </row>
    <row r="3" spans="1:2" ht="229.95" customHeight="1" x14ac:dyDescent="0.3">
      <c r="B3" s="17" t="s">
        <v>64</v>
      </c>
    </row>
    <row r="4" spans="1:2" ht="229.95" customHeight="1" x14ac:dyDescent="0.3">
      <c r="B4" s="17" t="s">
        <v>19</v>
      </c>
    </row>
    <row r="5" spans="1:2" ht="229.95" customHeight="1" x14ac:dyDescent="0.3">
      <c r="B5" s="17" t="s">
        <v>17</v>
      </c>
    </row>
    <row r="6" spans="1:2" ht="229.95" customHeight="1" x14ac:dyDescent="0.3">
      <c r="B6" s="17" t="s">
        <v>16</v>
      </c>
    </row>
    <row r="7" spans="1:2" ht="229.95" customHeight="1" x14ac:dyDescent="0.3">
      <c r="B7" s="17" t="s">
        <v>9</v>
      </c>
    </row>
    <row r="8" spans="1:2" ht="229.95" customHeight="1" x14ac:dyDescent="0.3"/>
    <row r="9" spans="1:2" ht="229.95" customHeight="1" x14ac:dyDescent="0.3"/>
    <row r="10" spans="1:2" ht="229.95" customHeight="1" x14ac:dyDescent="0.3"/>
    <row r="11" spans="1:2" ht="229.95" customHeight="1" x14ac:dyDescent="0.3"/>
    <row r="12" spans="1:2" ht="229.95" customHeight="1" x14ac:dyDescent="0.3"/>
  </sheetData>
  <sheetProtection algorithmName="SHA-512" hashValue="nhEkpdorj0QuH2+i/grBZ8C2s1B6dPQWTGImBRwsiupWVylCg6YS6ih4MreuSIh9RyUFLG61nhnNiWrT/MzPeA==" saltValue="Xi/rphp4qvbaVtyMT5N3Dg=="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D2F48-B1FE-4876-84C8-930B997BD4F9}">
  <dimension ref="B3:J72"/>
  <sheetViews>
    <sheetView topLeftCell="A40" workbookViewId="0">
      <selection activeCell="B72" sqref="B72"/>
    </sheetView>
  </sheetViews>
  <sheetFormatPr defaultRowHeight="14.4" x14ac:dyDescent="0.3"/>
  <cols>
    <col min="1" max="16384" width="8.88671875" style="17"/>
  </cols>
  <sheetData>
    <row r="3" spans="2:10" x14ac:dyDescent="0.3">
      <c r="B3" s="17" t="s">
        <v>0</v>
      </c>
      <c r="G3" s="17" t="s">
        <v>24</v>
      </c>
      <c r="J3" s="18" t="str">
        <f>IF('DRUK DEBIET VERMOGEN'!K1=G4,B4,IF('DRUK DEBIET VERMOGEN'!K1=G5,B5,B3))</f>
        <v>Keuze Duco ventilatie unit</v>
      </c>
    </row>
    <row r="4" spans="2:10" x14ac:dyDescent="0.3">
      <c r="B4" s="17" t="s">
        <v>65</v>
      </c>
      <c r="G4" s="17" t="s">
        <v>25</v>
      </c>
    </row>
    <row r="5" spans="2:10" x14ac:dyDescent="0.3">
      <c r="B5" s="17" t="s">
        <v>3</v>
      </c>
      <c r="G5" s="17" t="s">
        <v>26</v>
      </c>
    </row>
    <row r="7" spans="2:10" x14ac:dyDescent="0.3">
      <c r="B7" s="17" t="s">
        <v>10</v>
      </c>
      <c r="J7" s="18" t="str">
        <f>IF('DRUK DEBIET VERMOGEN'!K1=G4,B8,IF('DRUK DEBIET VERMOGEN'!K1=G5,B9,B7))</f>
        <v>Debiet:</v>
      </c>
    </row>
    <row r="8" spans="2:10" x14ac:dyDescent="0.3">
      <c r="B8" s="17" t="s">
        <v>27</v>
      </c>
    </row>
    <row r="9" spans="2:10" x14ac:dyDescent="0.3">
      <c r="B9" s="17" t="s">
        <v>28</v>
      </c>
    </row>
    <row r="11" spans="2:10" x14ac:dyDescent="0.3">
      <c r="B11" s="17" t="s">
        <v>11</v>
      </c>
      <c r="J11" s="18" t="str">
        <f>IF('DRUK DEBIET VERMOGEN'!K1=G4,B12,IF('DRUK DEBIET VERMOGEN'!K1=G5,B13,B11))</f>
        <v>Druk:</v>
      </c>
    </row>
    <row r="12" spans="2:10" x14ac:dyDescent="0.3">
      <c r="B12" s="17" t="s">
        <v>29</v>
      </c>
    </row>
    <row r="13" spans="2:10" x14ac:dyDescent="0.3">
      <c r="B13" s="17" t="s">
        <v>30</v>
      </c>
    </row>
    <row r="15" spans="2:10" x14ac:dyDescent="0.3">
      <c r="B15" s="19" t="s">
        <v>14</v>
      </c>
      <c r="J15" s="18" t="str">
        <f>IF('DRUK DEBIET VERMOGEN'!K1=G4,B16,IF('DRUK DEBIET VERMOGEN'!K1=G5,B17,B15))</f>
        <v>Opgenomen vermogen:</v>
      </c>
    </row>
    <row r="16" spans="2:10" x14ac:dyDescent="0.3">
      <c r="B16" s="19" t="s">
        <v>31</v>
      </c>
    </row>
    <row r="17" spans="2:10" x14ac:dyDescent="0.3">
      <c r="B17" s="19" t="s">
        <v>32</v>
      </c>
    </row>
    <row r="19" spans="2:10" x14ac:dyDescent="0.3">
      <c r="B19" s="17" t="s">
        <v>22</v>
      </c>
      <c r="J19" s="18" t="str">
        <f>IF('DRUK DEBIET VERMOGEN'!K1=G4,B20,IF('DRUK DEBIET VERMOGEN'!K1=G5,B21,B19))</f>
        <v>Thermisch rendement:</v>
      </c>
    </row>
    <row r="20" spans="2:10" x14ac:dyDescent="0.3">
      <c r="B20" s="17" t="s">
        <v>69</v>
      </c>
    </row>
    <row r="21" spans="2:10" x14ac:dyDescent="0.3">
      <c r="B21" s="17" t="s">
        <v>70</v>
      </c>
    </row>
    <row r="23" spans="2:10" x14ac:dyDescent="0.3">
      <c r="B23" s="17" t="s">
        <v>33</v>
      </c>
      <c r="J23" s="18" t="str">
        <f>IF('DRUK DEBIET VERMOGEN'!K1=G4,B24,IF('DRUK DEBIET VERMOGEN'!K1=G5,B25,B23))</f>
        <v>Voer het gewenste debiet in</v>
      </c>
    </row>
    <row r="24" spans="2:10" x14ac:dyDescent="0.3">
      <c r="B24" s="17" t="s">
        <v>34</v>
      </c>
    </row>
    <row r="25" spans="2:10" x14ac:dyDescent="0.3">
      <c r="B25" s="17" t="s">
        <v>35</v>
      </c>
    </row>
    <row r="27" spans="2:10" x14ac:dyDescent="0.3">
      <c r="B27" s="17" t="s">
        <v>15</v>
      </c>
      <c r="J27" s="18" t="str">
        <f>IF('DRUK DEBIET VERMOGEN'!K1=G4,B28,IF('DRUK DEBIET VERMOGEN'!K1=G5,B29,B27))</f>
        <v>Maximaal haalbaar debiet:</v>
      </c>
    </row>
    <row r="28" spans="2:10" x14ac:dyDescent="0.3">
      <c r="B28" s="17" t="s">
        <v>71</v>
      </c>
    </row>
    <row r="29" spans="2:10" x14ac:dyDescent="0.3">
      <c r="B29" s="17" t="s">
        <v>72</v>
      </c>
    </row>
    <row r="31" spans="2:10" x14ac:dyDescent="0.3">
      <c r="B31" s="17" t="s">
        <v>36</v>
      </c>
      <c r="J31" s="18" t="str">
        <f>IF('DRUK DEBIET VERMOGEN'!K1=G4,B32,IF('DRUK DEBIET VERMOGEN'!K1=G5,B33,B31))</f>
        <v>Debiet ligt hoger dan maximaal haalbaar debiet voor de gekozen unit</v>
      </c>
    </row>
    <row r="32" spans="2:10" x14ac:dyDescent="0.3">
      <c r="B32" s="17" t="s">
        <v>37</v>
      </c>
    </row>
    <row r="33" spans="2:10" x14ac:dyDescent="0.3">
      <c r="B33" s="17" t="s">
        <v>38</v>
      </c>
    </row>
    <row r="35" spans="2:10" x14ac:dyDescent="0.3">
      <c r="B35" s="17" t="s">
        <v>39</v>
      </c>
      <c r="J35" s="18" t="str">
        <f>IF('DRUK DEBIET VERMOGEN'!K1=G4,B36,IF('DRUK DEBIET VERMOGEN'!K1=G5,B37,B35))</f>
        <v>Selecteer een ventilatie unit</v>
      </c>
    </row>
    <row r="36" spans="2:10" x14ac:dyDescent="0.3">
      <c r="B36" s="17" t="s">
        <v>41</v>
      </c>
    </row>
    <row r="37" spans="2:10" x14ac:dyDescent="0.3">
      <c r="B37" s="17" t="s">
        <v>40</v>
      </c>
    </row>
    <row r="39" spans="2:10" x14ac:dyDescent="0.3">
      <c r="B39" s="17" t="s">
        <v>42</v>
      </c>
      <c r="J39" s="18" t="str">
        <f>IF('DRUK DEBIET VERMOGEN'!K1=G4,B40,IF('DRUK DEBIET VERMOGEN'!K1=G5,B41,B39))</f>
        <v>Voer berekende tegendruk in</v>
      </c>
    </row>
    <row r="40" spans="2:10" x14ac:dyDescent="0.3">
      <c r="B40" s="17" t="s">
        <v>43</v>
      </c>
    </row>
    <row r="41" spans="2:10" x14ac:dyDescent="0.3">
      <c r="B41" s="17" t="s">
        <v>44</v>
      </c>
    </row>
    <row r="43" spans="2:10" x14ac:dyDescent="0.3">
      <c r="B43" s="17" t="s">
        <v>66</v>
      </c>
      <c r="J43" s="18" t="str">
        <f>IF('DRUK DEBIET VERMOGEN'!K1=G4,J48,IF('DRUK DEBIET VERMOGEN'!K1=G5,J49,J47))</f>
        <v>↘ Berekend conform EN308:1997</v>
      </c>
    </row>
    <row r="44" spans="2:10" x14ac:dyDescent="0.3">
      <c r="B44" s="17" t="s">
        <v>67</v>
      </c>
    </row>
    <row r="45" spans="2:10" x14ac:dyDescent="0.3">
      <c r="B45" s="17" t="s">
        <v>68</v>
      </c>
    </row>
    <row r="47" spans="2:10" x14ac:dyDescent="0.3">
      <c r="B47" s="17" t="s">
        <v>73</v>
      </c>
      <c r="J47" s="17" t="str">
        <f>IF(OR('DRUK DEBIET VERMOGEN'!$C$3='CALCULATIE VB'!$A$11,'DRUK DEBIET VERMOGEN'!$C$3='CALCULATIE VB'!$A$12),TRANSLATOR!B47,TRANSLATOR!B43)</f>
        <v>↘ Berekend conform EN308:1997</v>
      </c>
    </row>
    <row r="48" spans="2:10" x14ac:dyDescent="0.3">
      <c r="B48" s="17" t="s">
        <v>74</v>
      </c>
      <c r="J48" s="17" t="str">
        <f>IF(OR('DRUK DEBIET VERMOGEN'!$C$3='CALCULATIE VB'!$A$11,'DRUK DEBIET VERMOGEN'!$C$3='CALCULATIE VB'!$A$12),TRANSLATOR!B48,TRANSLATOR!B44)</f>
        <v>↘ Calculé selon la norme EN308:1997</v>
      </c>
    </row>
    <row r="49" spans="2:10" x14ac:dyDescent="0.3">
      <c r="B49" s="17" t="s">
        <v>75</v>
      </c>
      <c r="J49" s="17" t="str">
        <f>IF(OR('DRUK DEBIET VERMOGEN'!$C$3='CALCULATIE VB'!$A$11,'DRUK DEBIET VERMOGEN'!$C$3='CALCULATIE VB'!$A$12),TRANSLATOR!B49,TRANSLATOR!B45)</f>
        <v>↘ Calculated according to EN308:1997</v>
      </c>
    </row>
    <row r="51" spans="2:10" x14ac:dyDescent="0.3">
      <c r="B51" s="17" t="s">
        <v>45</v>
      </c>
      <c r="J51" s="18" t="str">
        <f>IF('DRUK DEBIET VERMOGEN'!K1=G4,B52,IF('DRUK DEBIET VERMOGEN'!K1=G5,B53,B51))</f>
        <v>↘ In overeenstemming met de EPB wetgeving - Bijlage G van Bijlage 5</v>
      </c>
    </row>
    <row r="52" spans="2:10" x14ac:dyDescent="0.3">
      <c r="B52" s="17" t="s">
        <v>46</v>
      </c>
    </row>
    <row r="53" spans="2:10" x14ac:dyDescent="0.3">
      <c r="B53" s="17" t="s">
        <v>47</v>
      </c>
    </row>
    <row r="55" spans="2:10" x14ac:dyDescent="0.3">
      <c r="B55" s="17" t="s">
        <v>50</v>
      </c>
      <c r="J55" s="18" t="str">
        <f>IF('DRUK DEBIET VERMOGEN'!K1=G4,B56,IF('DRUK DEBIET VERMOGEN'!K1=G5,B57,B55))</f>
        <v>W / motor</v>
      </c>
    </row>
    <row r="56" spans="2:10" x14ac:dyDescent="0.3">
      <c r="B56" s="17" t="s">
        <v>49</v>
      </c>
    </row>
    <row r="57" spans="2:10" x14ac:dyDescent="0.3">
      <c r="B57" s="17" t="s">
        <v>48</v>
      </c>
    </row>
    <row r="59" spans="2:10" x14ac:dyDescent="0.3">
      <c r="B59" s="17" t="s">
        <v>54</v>
      </c>
      <c r="J59" s="18" t="str">
        <f>IF('DRUK DEBIET VERMOGEN'!K1=G4,B60,IF('DRUK DEBIET VERMOGEN'!K1=G5,B61,B59))</f>
        <v>↘ De genoemde waarde is een raming gebaseerd op theoretische herberekening van officiële metingen.</v>
      </c>
    </row>
    <row r="60" spans="2:10" x14ac:dyDescent="0.3">
      <c r="B60" s="17" t="s">
        <v>55</v>
      </c>
    </row>
    <row r="61" spans="2:10" x14ac:dyDescent="0.3">
      <c r="B61" s="17" t="s">
        <v>56</v>
      </c>
    </row>
    <row r="63" spans="2:10" x14ac:dyDescent="0.3">
      <c r="B63" s="17" t="s">
        <v>51</v>
      </c>
      <c r="J63" s="18" t="str">
        <f>IF('DRUK DEBIET VERMOGEN'!K1=G4,B64,IF('DRUK DEBIET VERMOGEN'!K1=G5,B65,B63))</f>
        <v>↘ Deze waarde kan op geen enkel moment gebruikt worden als staving voor een EPB dossier. Hiervoor moet een praktijkmeting uitgevoerd worden met geijkt meetapparatuur.</v>
      </c>
    </row>
    <row r="64" spans="2:10" x14ac:dyDescent="0.3">
      <c r="B64" s="17" t="s">
        <v>53</v>
      </c>
    </row>
    <row r="65" spans="2:10" x14ac:dyDescent="0.3">
      <c r="B65" s="17" t="s">
        <v>52</v>
      </c>
    </row>
    <row r="68" spans="2:10" x14ac:dyDescent="0.3">
      <c r="B68" s="17" t="s">
        <v>57</v>
      </c>
      <c r="J68" s="18" t="str">
        <f>IF('DRUK DEBIET VERMOGEN'!K1=G4,B69,IF('DRUK DEBIET VERMOGEN'!K1=G5,B70,B68))</f>
        <v>De rekentool is eigendom van DUCO en kan enkel door DUCO verdeeld worden. De resultaten van deze rekentool zijn een raming en kunnen in geen enkel geval gebruikt worden als officiële meetresultaten. In geen enkel geval kan DUCO aansprakelijk of verantwoordelijk gesteld worden voor fouten of misverstanden welke kunnen voortvloeien uit het gebruik van deze rekentool.</v>
      </c>
    </row>
    <row r="69" spans="2:10" x14ac:dyDescent="0.3">
      <c r="B69" s="17" t="s">
        <v>60</v>
      </c>
    </row>
    <row r="70" spans="2:10" x14ac:dyDescent="0.3">
      <c r="B70" s="17" t="s">
        <v>59</v>
      </c>
    </row>
    <row r="72" spans="2:10" x14ac:dyDescent="0.3">
      <c r="B72" s="17" t="s">
        <v>77</v>
      </c>
    </row>
  </sheetData>
  <sheetProtection algorithmName="SHA-512" hashValue="3rGJ2Lin/B/h8IP3Zt+Pw/9Rk40cY57nuAJtpoTAHlN3ecQqN5Fd+fDD4FI/lOQC18wzTuhkwf1RZ3U7qXvLDA==" saltValue="MbbaK+1x/fJAhRGeU2kCC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F639A-B096-41C1-A24B-2843630A7CDD}">
  <dimension ref="A3:S39"/>
  <sheetViews>
    <sheetView workbookViewId="0">
      <selection activeCell="L46" sqref="L46"/>
    </sheetView>
  </sheetViews>
  <sheetFormatPr defaultRowHeight="14.4" x14ac:dyDescent="0.3"/>
  <cols>
    <col min="1" max="1" width="31.5546875" style="17" bestFit="1" customWidth="1"/>
    <col min="2" max="16384" width="8.88671875" style="17"/>
  </cols>
  <sheetData>
    <row r="3" spans="1:19" x14ac:dyDescent="0.3">
      <c r="B3" s="20" t="s">
        <v>1</v>
      </c>
      <c r="C3" s="20" t="s">
        <v>2</v>
      </c>
      <c r="D3" s="17" t="s">
        <v>12</v>
      </c>
      <c r="N3" s="17" t="s">
        <v>17</v>
      </c>
    </row>
    <row r="4" spans="1:19" x14ac:dyDescent="0.3">
      <c r="B4" s="20">
        <f>'DRUK DEBIET VERMOGEN'!E6</f>
        <v>225</v>
      </c>
      <c r="C4" s="20">
        <f>'DRUK DEBIET VERMOGEN'!E8</f>
        <v>150</v>
      </c>
      <c r="D4" s="17" t="str">
        <f>'DRUK DEBIET VERMOGEN'!C3</f>
        <v>DucoBox Energy Comfort D325</v>
      </c>
    </row>
    <row r="10" spans="1:19" x14ac:dyDescent="0.3">
      <c r="B10" s="20">
        <v>300</v>
      </c>
      <c r="C10" s="20">
        <f t="shared" ref="C10:J10" si="0">B10-25</f>
        <v>275</v>
      </c>
      <c r="D10" s="20">
        <f t="shared" si="0"/>
        <v>250</v>
      </c>
      <c r="E10" s="20">
        <f t="shared" si="0"/>
        <v>225</v>
      </c>
      <c r="F10" s="20">
        <f t="shared" si="0"/>
        <v>200</v>
      </c>
      <c r="G10" s="20">
        <f t="shared" si="0"/>
        <v>175</v>
      </c>
      <c r="H10" s="20">
        <f t="shared" si="0"/>
        <v>150</v>
      </c>
      <c r="I10" s="20">
        <f t="shared" si="0"/>
        <v>125</v>
      </c>
      <c r="J10" s="20">
        <f t="shared" si="0"/>
        <v>100</v>
      </c>
    </row>
    <row r="11" spans="1:19" x14ac:dyDescent="0.3">
      <c r="A11" s="21" t="s">
        <v>4</v>
      </c>
      <c r="B11" s="20">
        <f t="shared" ref="B11:J11" si="1">B12</f>
        <v>126.23716230602513</v>
      </c>
      <c r="C11" s="20">
        <f t="shared" si="1"/>
        <v>113.87256604504594</v>
      </c>
      <c r="D11" s="20">
        <f t="shared" si="1"/>
        <v>102.71904929458172</v>
      </c>
      <c r="E11" s="20">
        <f t="shared" si="1"/>
        <v>92.657990018353161</v>
      </c>
      <c r="F11" s="20">
        <f t="shared" si="1"/>
        <v>82.585835385626652</v>
      </c>
      <c r="G11" s="20">
        <f t="shared" si="1"/>
        <v>75.395712994107626</v>
      </c>
      <c r="H11" s="20">
        <f t="shared" si="1"/>
        <v>71.988359289953792</v>
      </c>
      <c r="I11" s="20">
        <f t="shared" si="1"/>
        <v>61.349414214795367</v>
      </c>
      <c r="J11" s="20">
        <f t="shared" si="1"/>
        <v>56.74027145633567</v>
      </c>
    </row>
    <row r="12" spans="1:19" x14ac:dyDescent="0.3">
      <c r="A12" s="21" t="s">
        <v>5</v>
      </c>
      <c r="B12" s="20">
        <f>48.3053008595*EXP(0.004269427*B4)</f>
        <v>126.23716230602513</v>
      </c>
      <c r="C12" s="20">
        <f>41.1030468531*EXP(0.0045288788*B4)</f>
        <v>113.87256604504594</v>
      </c>
      <c r="D12" s="20">
        <f>34.9746390262*EXP(0.0047883306*B4)</f>
        <v>102.71904929458172</v>
      </c>
      <c r="E12" s="20">
        <f>29.7599683883*EXP(0.0050477824*B4)</f>
        <v>92.657990018353161</v>
      </c>
      <c r="F12" s="20">
        <f>24.15327765*EXP(0.0054640804*B4)</f>
        <v>82.585835385626652</v>
      </c>
      <c r="G12" s="20">
        <f>21.5472035842*EXP(0.0055666861*B4)</f>
        <v>75.395712994107626</v>
      </c>
      <c r="H12" s="20">
        <f>22.7959043697*EXP(0.0051107713*B4)</f>
        <v>71.988359289953792</v>
      </c>
      <c r="I12" s="20">
        <f>15.6008896326*EXP(0.0060855897*B4)</f>
        <v>61.349414214795367</v>
      </c>
      <c r="J12" s="20">
        <f>13.8785037959*EXP(0.0062584136*B4)</f>
        <v>56.74027145633567</v>
      </c>
      <c r="N12" s="17" t="s">
        <v>16</v>
      </c>
      <c r="S12" s="17" t="s">
        <v>20</v>
      </c>
    </row>
    <row r="13" spans="1:19" x14ac:dyDescent="0.3">
      <c r="A13" s="21" t="s">
        <v>6</v>
      </c>
      <c r="B13" s="20">
        <f>48.7098935025*EXP(0.0033989846*B4)</f>
        <v>104.65337476219713</v>
      </c>
      <c r="C13" s="20">
        <f>41.4613565774*EXP(0.0036325109*B4)</f>
        <v>93.885577401764863</v>
      </c>
      <c r="D13" s="20">
        <f>34.5503680899*EXP(0.003893082*B4)</f>
        <v>82.960256352419322</v>
      </c>
      <c r="E13" s="20">
        <f>30.0397395559*EXP(0.0040995636*B4)</f>
        <v>75.55969204186303</v>
      </c>
      <c r="F13" s="20">
        <f>26.1061474044*EXP(0.0042941669*B4)</f>
        <v>68.604516573666103</v>
      </c>
      <c r="G13" s="20">
        <f>21.7645062071*EXP(0.0045666162*B4)</f>
        <v>60.81090505045244</v>
      </c>
      <c r="H13" s="20">
        <f>18.9402569393*EXP(0.0047968562*B4)</f>
        <v>55.733549949399567</v>
      </c>
      <c r="I13" s="20">
        <f>15.7689027083*EXP(0.0050336689*B4)</f>
        <v>48.940991636341316</v>
      </c>
      <c r="J13" s="20">
        <f>13.1345071072*EXP(0.0052823618*B4)</f>
        <v>43.110832614224606</v>
      </c>
    </row>
    <row r="14" spans="1:19" x14ac:dyDescent="0.3">
      <c r="A14" s="21" t="s">
        <v>7</v>
      </c>
      <c r="B14" s="20">
        <f>45.3708809679*EXP(0.0035205583*B4)</f>
        <v>100.18276104573886</v>
      </c>
      <c r="C14" s="20">
        <f>39.1932058707*EXP(0.0037196719*B4)</f>
        <v>90.507216662148565</v>
      </c>
      <c r="D14" s="20">
        <f>33.1785926899*EXP(0.0039423782*B4)</f>
        <v>80.554982560694185</v>
      </c>
      <c r="E14" s="20">
        <f>29.2467721765*EXP(0.0041178992*B4)</f>
        <v>73.86924232725255</v>
      </c>
      <c r="F14" s="20">
        <f>25.5060778234*EXP(0.0043486801*B4)</f>
        <v>67.854777215222114</v>
      </c>
      <c r="G14" s="20">
        <f>21.824539834*EXP(0.0045161265*B4)</f>
        <v>60.289832825061097</v>
      </c>
      <c r="H14" s="20">
        <f>19.6550242801*EXP(0.004581128*B4)</f>
        <v>55.096533108435679</v>
      </c>
      <c r="I14" s="20">
        <f>16.2859181892*EXP(0.0049143538*B4)</f>
        <v>49.206731077078139</v>
      </c>
      <c r="J14" s="20">
        <f>13.6397109797*EXP(0.0051923199*B4)</f>
        <v>43.871172456383128</v>
      </c>
    </row>
    <row r="15" spans="1:19" x14ac:dyDescent="0.3">
      <c r="A15" s="21" t="s">
        <v>8</v>
      </c>
      <c r="B15" s="20">
        <f>47.5917366443*EXP(0.003646203*B4)</f>
        <v>108.09979424398969</v>
      </c>
      <c r="C15" s="20">
        <f>41.0424572352*EXP(0.0038452662*B4)</f>
        <v>97.494110224193264</v>
      </c>
      <c r="D15" s="20">
        <f>34.7579369148*EXP(0.0040543982*B4)</f>
        <v>86.543531471803576</v>
      </c>
      <c r="E15" s="20">
        <f>30.5236846192*EXP(0.0042433928*B4)</f>
        <v>79.302234587277582</v>
      </c>
      <c r="F15" s="20">
        <f>26.806850585*EXP(0.0044261718*B4)</f>
        <v>72.569601984040943</v>
      </c>
      <c r="G15" s="20">
        <f>22.7007685576*EXP(0.0046415193*B4)</f>
        <v>64.504863468868706</v>
      </c>
      <c r="H15" s="20">
        <f>19.9329589233*EXP(0.0048429452*B4)</f>
        <v>59.266087313433793</v>
      </c>
      <c r="I15" s="20">
        <f>16.882787892*EXP(0.0050396459*B4)</f>
        <v>52.468603519592826</v>
      </c>
      <c r="J15" s="20">
        <f>14.2985065248*EXP(0.0052425622*B4)</f>
        <v>46.51298811933335</v>
      </c>
    </row>
    <row r="16" spans="1:19" x14ac:dyDescent="0.3">
      <c r="A16" s="21" t="s">
        <v>9</v>
      </c>
      <c r="B16" s="20">
        <f>52.8731611409*EXP(0.003263221*B4)</f>
        <v>110.18057208249419</v>
      </c>
      <c r="C16" s="20">
        <f>45.9470206902*EXP(0.003439153*B4)</f>
        <v>99.613573320033339</v>
      </c>
      <c r="D16" s="20">
        <f>39.7913157949*EXP(0.0036065703*B4)</f>
        <v>89.579545749478584</v>
      </c>
      <c r="E16" s="20">
        <f>34.6977660974*EXP(0.003791017*B4)</f>
        <v>81.422702310249463</v>
      </c>
      <c r="F16" s="20">
        <f>30.0790775162*EXP(0.0039845887*B4)</f>
        <v>73.726499119523496</v>
      </c>
      <c r="G16" s="20">
        <f>26.2026776507*EXP(0.0041428809*B4)</f>
        <v>66.553744448730455</v>
      </c>
      <c r="H16" s="20">
        <f>23.1184820184*EXP(0.0043090776*B4)</f>
        <v>60.957374730414188</v>
      </c>
      <c r="I16" s="20">
        <f>19.7874501239*EXP(0.0044947449*B4)</f>
        <v>54.400073617166861</v>
      </c>
      <c r="J16" s="20">
        <f>17.0361150536*EXP(0.0046712872*B4)</f>
        <v>48.733911652685919</v>
      </c>
    </row>
    <row r="18" spans="1:19" x14ac:dyDescent="0.3">
      <c r="A18" s="21" t="s">
        <v>13</v>
      </c>
      <c r="B18" s="17">
        <f>INDEX(B11:J16,MATCH(D4,A11:A16,0),MATCH(C4,B10:J10,0))</f>
        <v>71.988359289953792</v>
      </c>
    </row>
    <row r="21" spans="1:19" x14ac:dyDescent="0.3">
      <c r="B21" s="20">
        <v>300</v>
      </c>
      <c r="C21" s="20">
        <f t="shared" ref="C21:J21" si="2">B21-25</f>
        <v>275</v>
      </c>
      <c r="D21" s="20">
        <f t="shared" si="2"/>
        <v>250</v>
      </c>
      <c r="E21" s="20">
        <f t="shared" si="2"/>
        <v>225</v>
      </c>
      <c r="F21" s="20">
        <f t="shared" si="2"/>
        <v>200</v>
      </c>
      <c r="G21" s="20">
        <f t="shared" si="2"/>
        <v>175</v>
      </c>
      <c r="H21" s="20">
        <f t="shared" si="2"/>
        <v>150</v>
      </c>
      <c r="I21" s="20">
        <f t="shared" si="2"/>
        <v>125</v>
      </c>
      <c r="J21" s="20">
        <f t="shared" si="2"/>
        <v>100</v>
      </c>
    </row>
    <row r="22" spans="1:19" x14ac:dyDescent="0.3">
      <c r="A22" s="21" t="s">
        <v>4</v>
      </c>
      <c r="B22" s="20">
        <v>95</v>
      </c>
      <c r="C22" s="20">
        <v>125</v>
      </c>
      <c r="D22" s="20">
        <v>152</v>
      </c>
      <c r="E22" s="20">
        <v>176</v>
      </c>
      <c r="F22" s="20">
        <v>200</v>
      </c>
      <c r="G22" s="20">
        <v>216</v>
      </c>
      <c r="H22" s="20">
        <v>225</v>
      </c>
      <c r="I22" s="20">
        <v>225</v>
      </c>
      <c r="J22" s="20">
        <v>225</v>
      </c>
      <c r="N22" s="17" t="s">
        <v>18</v>
      </c>
      <c r="S22" s="17" t="s">
        <v>19</v>
      </c>
    </row>
    <row r="23" spans="1:19" x14ac:dyDescent="0.3">
      <c r="A23" s="21" t="s">
        <v>5</v>
      </c>
      <c r="B23" s="20">
        <v>203</v>
      </c>
      <c r="C23" s="20">
        <v>230</v>
      </c>
      <c r="D23" s="20">
        <v>253</v>
      </c>
      <c r="E23" s="20">
        <v>273</v>
      </c>
      <c r="F23" s="20">
        <v>292</v>
      </c>
      <c r="G23" s="20">
        <v>308</v>
      </c>
      <c r="H23" s="20">
        <v>325</v>
      </c>
      <c r="I23" s="20">
        <v>325</v>
      </c>
      <c r="J23" s="20">
        <v>325</v>
      </c>
    </row>
    <row r="24" spans="1:19" x14ac:dyDescent="0.3">
      <c r="A24" s="21" t="s">
        <v>6</v>
      </c>
      <c r="B24" s="20">
        <v>315</v>
      </c>
      <c r="C24" s="20">
        <v>341</v>
      </c>
      <c r="D24" s="20">
        <v>367</v>
      </c>
      <c r="E24" s="20">
        <v>385</v>
      </c>
      <c r="F24" s="20">
        <v>400</v>
      </c>
      <c r="G24" s="20">
        <v>400</v>
      </c>
      <c r="H24" s="20">
        <v>400</v>
      </c>
      <c r="I24" s="20">
        <v>400</v>
      </c>
      <c r="J24" s="20">
        <v>400</v>
      </c>
    </row>
    <row r="25" spans="1:19" x14ac:dyDescent="0.3">
      <c r="A25" s="21" t="s">
        <v>7</v>
      </c>
      <c r="B25" s="20">
        <v>280</v>
      </c>
      <c r="C25" s="20">
        <v>300</v>
      </c>
      <c r="D25" s="20">
        <v>322</v>
      </c>
      <c r="E25" s="20">
        <v>338</v>
      </c>
      <c r="F25" s="20">
        <v>350</v>
      </c>
      <c r="G25" s="20">
        <v>350</v>
      </c>
      <c r="H25" s="20">
        <v>350</v>
      </c>
      <c r="I25" s="20">
        <v>350</v>
      </c>
      <c r="J25" s="20">
        <v>350</v>
      </c>
    </row>
    <row r="26" spans="1:19" x14ac:dyDescent="0.3">
      <c r="A26" s="21" t="s">
        <v>8</v>
      </c>
      <c r="B26" s="20">
        <v>390</v>
      </c>
      <c r="C26" s="20">
        <v>410</v>
      </c>
      <c r="D26" s="20">
        <v>428</v>
      </c>
      <c r="E26" s="20">
        <v>438</v>
      </c>
      <c r="F26" s="20">
        <v>450</v>
      </c>
      <c r="G26" s="20">
        <v>450</v>
      </c>
      <c r="H26" s="20">
        <v>450</v>
      </c>
      <c r="I26" s="20">
        <v>450</v>
      </c>
      <c r="J26" s="20">
        <v>450</v>
      </c>
    </row>
    <row r="27" spans="1:19" x14ac:dyDescent="0.3">
      <c r="A27" s="21" t="s">
        <v>9</v>
      </c>
      <c r="B27" s="20">
        <v>500</v>
      </c>
      <c r="C27" s="20">
        <v>515</v>
      </c>
      <c r="D27" s="20">
        <v>531</v>
      </c>
      <c r="E27" s="20">
        <v>542</v>
      </c>
      <c r="F27" s="20">
        <v>550</v>
      </c>
      <c r="G27" s="20">
        <v>550</v>
      </c>
      <c r="H27" s="20">
        <v>550</v>
      </c>
      <c r="I27" s="20">
        <v>550</v>
      </c>
      <c r="J27" s="20">
        <v>550</v>
      </c>
    </row>
    <row r="29" spans="1:19" x14ac:dyDescent="0.3">
      <c r="A29" s="21" t="s">
        <v>13</v>
      </c>
      <c r="B29" s="20">
        <f>INDEX(B22:J27,MATCH(D4,A22:A27,0),MATCH(C4,B21:J21,0))</f>
        <v>325</v>
      </c>
    </row>
    <row r="31" spans="1:19" x14ac:dyDescent="0.3">
      <c r="B31" s="20"/>
      <c r="C31" s="20" t="s">
        <v>21</v>
      </c>
      <c r="D31" s="20"/>
      <c r="E31" s="20" t="s">
        <v>21</v>
      </c>
    </row>
    <row r="32" spans="1:19" x14ac:dyDescent="0.3">
      <c r="A32" s="21" t="s">
        <v>4</v>
      </c>
      <c r="B32" s="20">
        <v>88</v>
      </c>
      <c r="C32" s="20">
        <v>225</v>
      </c>
      <c r="D32" s="20"/>
      <c r="E32" s="20"/>
      <c r="F32" s="20"/>
      <c r="G32" s="20">
        <f>IF($B$4&gt;H22,"Debiet te hoog",B32)</f>
        <v>88</v>
      </c>
    </row>
    <row r="33" spans="1:8" x14ac:dyDescent="0.3">
      <c r="A33" s="21" t="s">
        <v>5</v>
      </c>
      <c r="B33" s="20">
        <v>88</v>
      </c>
      <c r="C33" s="20">
        <v>227</v>
      </c>
      <c r="D33" s="20">
        <v>86</v>
      </c>
      <c r="E33" s="20">
        <v>279</v>
      </c>
      <c r="F33" s="23">
        <v>85</v>
      </c>
      <c r="G33" s="20">
        <f>IF($B$4&gt;H23,"debiet te hoog",IF($B$4&gt;E33,F33,IF($B$4&gt;C33,D33,B33)))</f>
        <v>88</v>
      </c>
      <c r="H33" s="17" t="s">
        <v>76</v>
      </c>
    </row>
    <row r="34" spans="1:8" x14ac:dyDescent="0.3">
      <c r="A34" s="21" t="s">
        <v>6</v>
      </c>
      <c r="B34" s="20">
        <v>85</v>
      </c>
      <c r="C34" s="20">
        <v>307</v>
      </c>
      <c r="D34" s="20">
        <v>84</v>
      </c>
      <c r="E34" s="20">
        <v>351</v>
      </c>
      <c r="F34" s="20">
        <v>83</v>
      </c>
      <c r="G34" s="20">
        <f t="shared" ref="G34:G37" si="3">IF($B$4&gt;H24,"debiet te hoog",IF($B$4&gt;E34,F34,IF($B$4&gt;C34,D34,B34)))</f>
        <v>85</v>
      </c>
    </row>
    <row r="35" spans="1:8" x14ac:dyDescent="0.3">
      <c r="A35" s="21" t="s">
        <v>7</v>
      </c>
      <c r="B35" s="20">
        <v>86</v>
      </c>
      <c r="C35" s="20">
        <v>255</v>
      </c>
      <c r="D35" s="20">
        <v>85</v>
      </c>
      <c r="E35" s="20">
        <v>307</v>
      </c>
      <c r="F35" s="20">
        <v>84</v>
      </c>
      <c r="G35" s="20">
        <f t="shared" si="3"/>
        <v>86</v>
      </c>
    </row>
    <row r="36" spans="1:8" x14ac:dyDescent="0.3">
      <c r="A36" s="21" t="s">
        <v>8</v>
      </c>
      <c r="B36" s="20">
        <v>83</v>
      </c>
      <c r="C36" s="20">
        <v>377</v>
      </c>
      <c r="D36" s="20">
        <v>82</v>
      </c>
      <c r="E36" s="20">
        <v>418</v>
      </c>
      <c r="F36" s="20">
        <v>81</v>
      </c>
      <c r="G36" s="20">
        <f t="shared" si="3"/>
        <v>83</v>
      </c>
    </row>
    <row r="37" spans="1:8" x14ac:dyDescent="0.3">
      <c r="A37" s="21" t="s">
        <v>9</v>
      </c>
      <c r="B37" s="20">
        <v>80</v>
      </c>
      <c r="C37" s="20">
        <v>471</v>
      </c>
      <c r="D37" s="20">
        <v>79</v>
      </c>
      <c r="E37" s="20">
        <v>515</v>
      </c>
      <c r="F37" s="20">
        <v>78</v>
      </c>
      <c r="G37" s="20">
        <f t="shared" si="3"/>
        <v>80</v>
      </c>
    </row>
    <row r="39" spans="1:8" x14ac:dyDescent="0.3">
      <c r="A39" s="21" t="s">
        <v>13</v>
      </c>
      <c r="B39" s="20">
        <f>IF(D4=A32,G32,IF(D4=A33,G33,IF(D4=A34,G34,IF(D4=A35,G35,IF(D4=A36,G36,IF(D4=A37,G37,"Kies een unit"))))))</f>
        <v>88</v>
      </c>
    </row>
  </sheetData>
  <sheetProtection algorithmName="SHA-512" hashValue="U0E9nytjNUi26v8aovekw1N7KOI/vV5OnJkvgs2/loDKt5XsZiHMNdt586rsfhgTaOnltTRrCNUJMQKZK8beTg==" saltValue="g33zqt6xOPQbq7zC2C2G3g==" spinCount="100000" sheet="1" objects="1" scenarios="1"/>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8</vt:i4>
      </vt:variant>
    </vt:vector>
  </HeadingPairs>
  <TitlesOfParts>
    <vt:vector size="12" baseType="lpstr">
      <vt:lpstr>DRUK DEBIET VERMOGEN</vt:lpstr>
      <vt:lpstr>VISUALS</vt:lpstr>
      <vt:lpstr>TRANSLATOR</vt:lpstr>
      <vt:lpstr>CALCULATIE VB</vt:lpstr>
      <vt:lpstr>_</vt:lpstr>
      <vt:lpstr>'DRUK DEBIET VERMOGEN'!Afdrukbereik</vt:lpstr>
      <vt:lpstr>D225_</vt:lpstr>
      <vt:lpstr>D325_</vt:lpstr>
      <vt:lpstr>D350_</vt:lpstr>
      <vt:lpstr>D400_</vt:lpstr>
      <vt:lpstr>D450_</vt:lpstr>
      <vt:lpstr>D550_</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Davy Sallaerts</dc:creator>
  <cp:lastModifiedBy>Davy Sallaerts</cp:lastModifiedBy>
  <cp:lastPrinted>2023-09-05T14:57:37Z</cp:lastPrinted>
  <dcterms:created xsi:type="dcterms:W3CDTF">2023-06-08T09:11:31Z</dcterms:created>
  <dcterms:modified xsi:type="dcterms:W3CDTF">2023-09-06T07:50:33Z</dcterms:modified>
</cp:coreProperties>
</file>